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"/>
    </mc:Choice>
  </mc:AlternateContent>
  <bookViews>
    <workbookView xWindow="0" yWindow="0" windowWidth="28800" windowHeight="12210" activeTab="2"/>
  </bookViews>
  <sheets>
    <sheet name="Opći dio" sheetId="1" r:id="rId1"/>
    <sheet name="Ph i rh po ekonomskoj klas. " sheetId="3" r:id="rId2"/>
    <sheet name="Rh i izdaci po izv fin,ek i pr " sheetId="2" r:id="rId3"/>
    <sheet name="Ph i rh po izvorima fin." sheetId="4" r:id="rId4"/>
  </sheets>
  <definedNames>
    <definedName name="_xlnm.Print_Area" localSheetId="1">'Ph i rh po ekonomskoj klas. '!$A$1:$M$121</definedName>
  </definedNames>
  <calcPr calcId="162913"/>
  <customWorkbookViews>
    <customWorkbookView name="Racunovodja - osobni prikaz" guid="{005C429F-8448-44DF-83AD-8A930973E873}" mergeInterval="0" personalView="1" maximized="1" xWindow="-8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I48" i="2" s="1"/>
  <c r="K49" i="2"/>
  <c r="K48" i="2"/>
  <c r="G48" i="2"/>
  <c r="G49" i="2"/>
  <c r="I51" i="2"/>
  <c r="K51" i="2"/>
  <c r="G51" i="2"/>
  <c r="K11" i="4" l="1"/>
  <c r="G11" i="4"/>
  <c r="G12" i="4"/>
  <c r="G13" i="4"/>
  <c r="G14" i="4"/>
  <c r="G16" i="4"/>
  <c r="G17" i="4"/>
  <c r="G18" i="4"/>
  <c r="G15" i="4"/>
  <c r="K13" i="4"/>
  <c r="I75" i="2"/>
  <c r="K75" i="2"/>
  <c r="G75" i="2"/>
  <c r="K10" i="2"/>
  <c r="G11" i="2"/>
  <c r="I80" i="2"/>
  <c r="K80" i="2"/>
  <c r="G80" i="2"/>
  <c r="I63" i="2"/>
  <c r="I65" i="2"/>
  <c r="G54" i="2"/>
  <c r="I55" i="2"/>
  <c r="I61" i="2"/>
  <c r="I60" i="2"/>
  <c r="I59" i="2"/>
  <c r="I58" i="2"/>
  <c r="I57" i="2"/>
  <c r="I56" i="2" l="1"/>
  <c r="G66" i="2"/>
  <c r="K66" i="2"/>
  <c r="I72" i="2"/>
  <c r="I70" i="2"/>
  <c r="I71" i="2"/>
  <c r="I73" i="2"/>
  <c r="I74" i="2"/>
  <c r="I69" i="2"/>
  <c r="M69" i="2"/>
  <c r="I68" i="2"/>
  <c r="M68" i="2"/>
  <c r="I67" i="2"/>
  <c r="M67" i="2"/>
  <c r="I53" i="2"/>
  <c r="I52" i="2"/>
  <c r="I44" i="2"/>
  <c r="I84" i="2"/>
  <c r="I83" i="2"/>
  <c r="I79" i="2"/>
  <c r="I78" i="2"/>
  <c r="G76" i="2"/>
  <c r="I66" i="2" l="1"/>
  <c r="I47" i="2"/>
  <c r="I46" i="2"/>
  <c r="I45" i="2"/>
  <c r="I39" i="2"/>
  <c r="I40" i="2"/>
  <c r="I41" i="2"/>
  <c r="I38" i="2"/>
  <c r="I29" i="2"/>
  <c r="I30" i="2"/>
  <c r="I31" i="2"/>
  <c r="I32" i="2"/>
  <c r="I33" i="2"/>
  <c r="I34" i="2"/>
  <c r="I35" i="2"/>
  <c r="I36" i="2"/>
  <c r="I28" i="2"/>
  <c r="I22" i="2"/>
  <c r="I23" i="2"/>
  <c r="I24" i="2"/>
  <c r="I25" i="2"/>
  <c r="I26" i="2"/>
  <c r="I21" i="2"/>
  <c r="I17" i="2"/>
  <c r="I18" i="2"/>
  <c r="I19" i="2"/>
  <c r="I16" i="2"/>
  <c r="K20" i="2"/>
  <c r="K27" i="2"/>
  <c r="K37" i="2"/>
  <c r="I37" i="2" l="1"/>
  <c r="I20" i="2"/>
  <c r="I27" i="2"/>
  <c r="M17" i="2"/>
  <c r="K15" i="2"/>
  <c r="K42" i="2"/>
  <c r="K54" i="2"/>
  <c r="K56" i="2"/>
  <c r="K62" i="2"/>
  <c r="K64" i="2"/>
  <c r="K76" i="2"/>
  <c r="K81" i="2"/>
  <c r="M18" i="2"/>
  <c r="K14" i="2" l="1"/>
  <c r="M121" i="3"/>
  <c r="M114" i="3"/>
  <c r="M115" i="3"/>
  <c r="M116" i="3"/>
  <c r="M117" i="3"/>
  <c r="M118" i="3"/>
  <c r="M119" i="3"/>
  <c r="M120" i="3"/>
  <c r="M113" i="3"/>
  <c r="M112" i="3"/>
  <c r="M111" i="3"/>
  <c r="M110" i="3"/>
  <c r="M109" i="3"/>
  <c r="M108" i="3"/>
  <c r="M103" i="3"/>
  <c r="M104" i="3"/>
  <c r="M105" i="3"/>
  <c r="M106" i="3"/>
  <c r="M107" i="3"/>
  <c r="M102" i="3"/>
  <c r="M100" i="3"/>
  <c r="M99" i="3"/>
  <c r="I49" i="3"/>
  <c r="I34" i="3"/>
  <c r="I28" i="3"/>
  <c r="I26" i="3"/>
  <c r="I23" i="3"/>
  <c r="I15" i="3"/>
  <c r="I14" i="3" s="1"/>
  <c r="I20" i="3"/>
  <c r="M98" i="3"/>
  <c r="M97" i="3"/>
  <c r="M92" i="3"/>
  <c r="M93" i="3"/>
  <c r="M94" i="3"/>
  <c r="M95" i="3"/>
  <c r="M96" i="3"/>
  <c r="M91" i="3"/>
  <c r="M89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66" i="3"/>
  <c r="M65" i="3"/>
  <c r="M60" i="3"/>
  <c r="M61" i="3"/>
  <c r="M62" i="3"/>
  <c r="M63" i="3"/>
  <c r="M64" i="3"/>
  <c r="M59" i="3"/>
  <c r="M58" i="3"/>
  <c r="M57" i="3"/>
  <c r="M54" i="3"/>
  <c r="M53" i="3"/>
  <c r="M52" i="3"/>
  <c r="M51" i="3"/>
  <c r="M49" i="3"/>
  <c r="M47" i="3"/>
  <c r="M45" i="3"/>
  <c r="M43" i="3"/>
  <c r="M42" i="3"/>
  <c r="M40" i="3"/>
  <c r="M39" i="3"/>
  <c r="M38" i="3"/>
  <c r="M36" i="3"/>
  <c r="M34" i="3"/>
  <c r="M33" i="3"/>
  <c r="M32" i="3"/>
  <c r="M30" i="3"/>
  <c r="M28" i="3"/>
  <c r="M26" i="3"/>
  <c r="M24" i="3"/>
  <c r="M23" i="3"/>
  <c r="M22" i="3"/>
  <c r="M20" i="3"/>
  <c r="M18" i="3"/>
  <c r="M16" i="3"/>
  <c r="M15" i="3"/>
  <c r="K60" i="3"/>
  <c r="K69" i="3"/>
  <c r="K67" i="3"/>
  <c r="K96" i="3"/>
  <c r="K120" i="3"/>
  <c r="I120" i="3" s="1"/>
  <c r="K114" i="3"/>
  <c r="K95" i="3"/>
  <c r="I95" i="3" s="1"/>
  <c r="K85" i="3"/>
  <c r="I85" i="3" s="1"/>
  <c r="K79" i="3"/>
  <c r="I79" i="3" s="1"/>
  <c r="K75" i="3"/>
  <c r="K73" i="3"/>
  <c r="K72" i="3"/>
  <c r="K62" i="3"/>
  <c r="K93" i="3"/>
  <c r="K92" i="3"/>
  <c r="I92" i="3" s="1"/>
  <c r="K91" i="3"/>
  <c r="K87" i="3"/>
  <c r="K86" i="3"/>
  <c r="I86" i="3" s="1"/>
  <c r="K84" i="3"/>
  <c r="I84" i="3" s="1"/>
  <c r="K83" i="3"/>
  <c r="K82" i="3"/>
  <c r="K81" i="3"/>
  <c r="K80" i="3"/>
  <c r="K77" i="3"/>
  <c r="K76" i="3"/>
  <c r="K74" i="3"/>
  <c r="K70" i="3"/>
  <c r="I70" i="3" s="1"/>
  <c r="K68" i="3"/>
  <c r="I68" i="3" s="1"/>
  <c r="I99" i="3"/>
  <c r="I107" i="3"/>
  <c r="I104" i="3"/>
  <c r="I103" i="3"/>
  <c r="I115" i="3"/>
  <c r="I116" i="3"/>
  <c r="I117" i="3"/>
  <c r="I118" i="3"/>
  <c r="I111" i="3"/>
  <c r="I89" i="3"/>
  <c r="I87" i="3"/>
  <c r="I76" i="3"/>
  <c r="G69" i="3"/>
  <c r="G67" i="3"/>
  <c r="G96" i="3"/>
  <c r="I96" i="3" s="1"/>
  <c r="G114" i="3"/>
  <c r="G89" i="3"/>
  <c r="G85" i="3"/>
  <c r="G79" i="3"/>
  <c r="G73" i="3"/>
  <c r="G72" i="3"/>
  <c r="G94" i="3"/>
  <c r="I94" i="3" s="1"/>
  <c r="G64" i="3"/>
  <c r="I64" i="3" s="1"/>
  <c r="G62" i="3"/>
  <c r="G60" i="3"/>
  <c r="I60" i="3" s="1"/>
  <c r="G93" i="3"/>
  <c r="G92" i="3"/>
  <c r="G91" i="3"/>
  <c r="G87" i="3"/>
  <c r="G86" i="3"/>
  <c r="G84" i="3"/>
  <c r="G83" i="3"/>
  <c r="G82" i="3"/>
  <c r="G81" i="3"/>
  <c r="I81" i="3" s="1"/>
  <c r="G80" i="3"/>
  <c r="G77" i="3"/>
  <c r="G76" i="3"/>
  <c r="G75" i="3"/>
  <c r="G74" i="3"/>
  <c r="G70" i="3"/>
  <c r="G68" i="3"/>
  <c r="K12" i="2" l="1"/>
  <c r="K11" i="2" s="1"/>
  <c r="I91" i="3"/>
  <c r="I114" i="3"/>
  <c r="I74" i="3"/>
  <c r="I93" i="3"/>
  <c r="I62" i="3"/>
  <c r="I77" i="3"/>
  <c r="I67" i="3"/>
  <c r="I66" i="3" s="1"/>
  <c r="I80" i="3"/>
  <c r="I78" i="3" s="1"/>
  <c r="I69" i="3"/>
  <c r="I72" i="3"/>
  <c r="I71" i="3" s="1"/>
  <c r="I82" i="3"/>
  <c r="I73" i="3"/>
  <c r="I83" i="3"/>
  <c r="I75" i="3"/>
  <c r="I110" i="3"/>
  <c r="K110" i="3"/>
  <c r="I113" i="3"/>
  <c r="K113" i="3"/>
  <c r="I119" i="3"/>
  <c r="K119" i="3"/>
  <c r="I106" i="3"/>
  <c r="I105" i="3" s="1"/>
  <c r="K106" i="3"/>
  <c r="K105" i="3" s="1"/>
  <c r="I98" i="3"/>
  <c r="I97" i="3" s="1"/>
  <c r="K98" i="3"/>
  <c r="K97" i="3" s="1"/>
  <c r="K66" i="3"/>
  <c r="K71" i="3"/>
  <c r="K78" i="3"/>
  <c r="I59" i="3"/>
  <c r="K59" i="3"/>
  <c r="I61" i="3"/>
  <c r="K61" i="3"/>
  <c r="I63" i="3"/>
  <c r="K63" i="3"/>
  <c r="I47" i="3"/>
  <c r="I45" i="3" s="1"/>
  <c r="I43" i="3" s="1"/>
  <c r="I42" i="3"/>
  <c r="I40" i="3" s="1"/>
  <c r="I33" i="3"/>
  <c r="I32" i="3" s="1"/>
  <c r="I30" i="3" s="1"/>
  <c r="K18" i="3"/>
  <c r="I54" i="3"/>
  <c r="I53" i="3" s="1"/>
  <c r="I52" i="3" s="1"/>
  <c r="I51" i="3" s="1"/>
  <c r="I22" i="3"/>
  <c r="I24" i="3"/>
  <c r="G39" i="3"/>
  <c r="I39" i="3" s="1"/>
  <c r="I38" i="3" s="1"/>
  <c r="G18" i="3"/>
  <c r="E35" i="1"/>
  <c r="G20" i="1"/>
  <c r="E21" i="1"/>
  <c r="E20" i="1" s="1"/>
  <c r="I20" i="1" s="1"/>
  <c r="G16" i="1"/>
  <c r="G17" i="1"/>
  <c r="G18" i="1"/>
  <c r="I21" i="1" l="1"/>
  <c r="I18" i="3"/>
  <c r="I16" i="3" s="1"/>
  <c r="K112" i="3"/>
  <c r="K58" i="3"/>
  <c r="I112" i="3"/>
  <c r="I58" i="3"/>
  <c r="I36" i="3"/>
  <c r="I12" i="3"/>
  <c r="G35" i="1"/>
  <c r="I35" i="1"/>
  <c r="I19" i="1" l="1"/>
  <c r="I22" i="1"/>
  <c r="I23" i="1" l="1"/>
  <c r="I42" i="2"/>
  <c r="G102" i="3" l="1"/>
  <c r="I102" i="3"/>
  <c r="K102" i="3"/>
  <c r="K100" i="3" s="1"/>
  <c r="K16" i="3" l="1"/>
  <c r="G24" i="3"/>
  <c r="K24" i="3"/>
  <c r="G19" i="4" l="1"/>
  <c r="E22" i="1"/>
  <c r="E19" i="1" l="1"/>
  <c r="E23" i="1" s="1"/>
  <c r="E36" i="1" s="1"/>
  <c r="I81" i="2" l="1"/>
  <c r="I76" i="2"/>
  <c r="I64" i="2"/>
  <c r="I62" i="2"/>
  <c r="I54" i="2"/>
  <c r="I15" i="2"/>
  <c r="G119" i="3"/>
  <c r="G113" i="3"/>
  <c r="G110" i="3"/>
  <c r="G109" i="3" s="1"/>
  <c r="G106" i="3"/>
  <c r="G105" i="3" s="1"/>
  <c r="G100" i="3"/>
  <c r="G98" i="3"/>
  <c r="G97" i="3" s="1"/>
  <c r="G88" i="3"/>
  <c r="G78" i="3"/>
  <c r="G71" i="3"/>
  <c r="G66" i="3"/>
  <c r="G63" i="3"/>
  <c r="G61" i="3"/>
  <c r="G59" i="3"/>
  <c r="G53" i="3"/>
  <c r="G52" i="3" s="1"/>
  <c r="G51" i="3" s="1"/>
  <c r="G45" i="3"/>
  <c r="G43" i="3" s="1"/>
  <c r="G40" i="3"/>
  <c r="G38" i="3"/>
  <c r="G36" i="3" s="1"/>
  <c r="G32" i="3"/>
  <c r="G30" i="3" s="1"/>
  <c r="G22" i="3"/>
  <c r="G16" i="3"/>
  <c r="G14" i="3"/>
  <c r="G112" i="3" l="1"/>
  <c r="G108" i="3"/>
  <c r="G58" i="3"/>
  <c r="G65" i="3"/>
  <c r="G12" i="3"/>
  <c r="G11" i="3" s="1"/>
  <c r="G55" i="3" s="1"/>
  <c r="I14" i="2"/>
  <c r="I12" i="2" s="1"/>
  <c r="I11" i="2" s="1"/>
  <c r="I10" i="2" s="1"/>
  <c r="M10" i="2" l="1"/>
  <c r="G57" i="3"/>
  <c r="G121" i="3" s="1"/>
  <c r="G22" i="1"/>
  <c r="I36" i="1"/>
  <c r="M82" i="2" l="1"/>
  <c r="M77" i="2"/>
  <c r="M51" i="2"/>
  <c r="M43" i="2"/>
  <c r="I100" i="3"/>
  <c r="K32" i="3" l="1"/>
  <c r="E19" i="4" l="1"/>
  <c r="G15" i="2" l="1"/>
  <c r="M15" i="2" s="1"/>
  <c r="G20" i="2"/>
  <c r="G27" i="2"/>
  <c r="G37" i="2"/>
  <c r="G14" i="2" l="1"/>
  <c r="G42" i="2"/>
  <c r="G56" i="2"/>
  <c r="G62" i="2"/>
  <c r="G64" i="2"/>
  <c r="G81" i="2"/>
  <c r="M80" i="2" s="1"/>
  <c r="M79" i="2"/>
  <c r="M78" i="2"/>
  <c r="M53" i="2"/>
  <c r="M55" i="2"/>
  <c r="M57" i="2"/>
  <c r="M58" i="2"/>
  <c r="M59" i="2"/>
  <c r="M60" i="2"/>
  <c r="M61" i="2"/>
  <c r="M63" i="2"/>
  <c r="M65" i="2"/>
  <c r="M70" i="2"/>
  <c r="M71" i="2"/>
  <c r="M72" i="2"/>
  <c r="M73" i="2"/>
  <c r="M74" i="2"/>
  <c r="M52" i="2"/>
  <c r="M84" i="2"/>
  <c r="M83" i="2"/>
  <c r="M45" i="2"/>
  <c r="M46" i="2"/>
  <c r="M47" i="2"/>
  <c r="M44" i="2"/>
  <c r="G19" i="1"/>
  <c r="G23" i="1" s="1"/>
  <c r="G36" i="1" s="1"/>
  <c r="M75" i="2" l="1"/>
  <c r="G10" i="2"/>
  <c r="G12" i="2"/>
  <c r="M14" i="2"/>
  <c r="M81" i="2"/>
  <c r="M76" i="2"/>
  <c r="M66" i="2"/>
  <c r="M64" i="2"/>
  <c r="M62" i="2"/>
  <c r="M56" i="2"/>
  <c r="M54" i="2"/>
  <c r="M49" i="2"/>
  <c r="M42" i="2"/>
  <c r="M37" i="2"/>
  <c r="M20" i="2"/>
  <c r="M16" i="2"/>
  <c r="M19" i="2"/>
  <c r="M21" i="2"/>
  <c r="M22" i="2"/>
  <c r="M23" i="2"/>
  <c r="M24" i="2"/>
  <c r="M25" i="2"/>
  <c r="M26" i="2"/>
  <c r="M28" i="2"/>
  <c r="M29" i="2"/>
  <c r="M30" i="2"/>
  <c r="M31" i="2"/>
  <c r="M32" i="2"/>
  <c r="M33" i="2"/>
  <c r="M34" i="2"/>
  <c r="M35" i="2"/>
  <c r="M36" i="2"/>
  <c r="M38" i="2"/>
  <c r="M39" i="2"/>
  <c r="M40" i="2"/>
  <c r="M41" i="2"/>
  <c r="M48" i="2" l="1"/>
  <c r="M27" i="2"/>
  <c r="K18" i="4"/>
  <c r="M12" i="2" l="1"/>
  <c r="K12" i="4"/>
  <c r="K14" i="4"/>
  <c r="K15" i="4"/>
  <c r="K16" i="4"/>
  <c r="K17" i="4"/>
  <c r="I19" i="4"/>
  <c r="M11" i="2" l="1"/>
  <c r="K19" i="4"/>
  <c r="I109" i="3" l="1"/>
  <c r="I88" i="3"/>
  <c r="I65" i="3" s="1"/>
  <c r="K88" i="3"/>
  <c r="K65" i="3" s="1"/>
  <c r="I108" i="3" l="1"/>
  <c r="K109" i="3"/>
  <c r="K53" i="3"/>
  <c r="K45" i="3"/>
  <c r="K40" i="3"/>
  <c r="K38" i="3"/>
  <c r="K22" i="3"/>
  <c r="K14" i="3"/>
  <c r="M14" i="3" s="1"/>
  <c r="K57" i="3" l="1"/>
  <c r="K12" i="3"/>
  <c r="M12" i="3" s="1"/>
  <c r="I57" i="3"/>
  <c r="I121" i="3" s="1"/>
  <c r="K108" i="3"/>
  <c r="K30" i="3"/>
  <c r="K36" i="3"/>
  <c r="K43" i="3"/>
  <c r="K52" i="3"/>
  <c r="I11" i="3"/>
  <c r="I55" i="3" s="1"/>
  <c r="K121" i="3" l="1"/>
  <c r="K11" i="3"/>
  <c r="M11" i="3" s="1"/>
  <c r="K51" i="3"/>
  <c r="K55" i="3" l="1"/>
  <c r="M55" i="3" s="1"/>
</calcChain>
</file>

<file path=xl/sharedStrings.xml><?xml version="1.0" encoding="utf-8"?>
<sst xmlns="http://schemas.openxmlformats.org/spreadsheetml/2006/main" count="245" uniqueCount="169">
  <si>
    <t>I. OPĆI DIO</t>
  </si>
  <si>
    <t>A. RAČUN PRIHODA I RASHODA</t>
  </si>
  <si>
    <t>PRIHODI I RASHODI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</si>
  <si>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</si>
  <si>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</si>
  <si>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</si>
  <si>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</si>
  <si>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</si>
  <si>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</si>
  <si>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Razlika – višak/ manjak</t>
  </si>
  <si>
    <t>B. RAČUN FINANCIRANJA</t>
  </si>
  <si>
    <t>Oznaka</t>
  </si>
  <si>
    <t>5 Izdaci za financijsku imovinu i otplate zajmova</t>
  </si>
  <si>
    <t>8 Primici od financijske imovine i zaduživanja</t>
  </si>
  <si>
    <t>Neto zaduživanje/ financiranje</t>
  </si>
  <si>
    <t>Višak/ manjak iz prethodnih godina</t>
  </si>
  <si>
    <t>9 Preneseni višak prethodnih godina</t>
  </si>
  <si>
    <t>C. RASPOLOŽIVA SREDSTVA IZ PRETHODIH GODINA</t>
  </si>
  <si>
    <t>Višak/ manjak + neto financiranje + raspoloživa sredstva iz prethodnih godina</t>
  </si>
  <si>
    <t>Antuna Gustava Matoša 40, 23000 Zadar</t>
  </si>
  <si>
    <t>OIB: 91757782000 // RKP: 19773</t>
  </si>
  <si>
    <t>Hotelijersko – turistička i ugostiteljska škola Zadar</t>
  </si>
  <si>
    <t>Glava: 030-05 SREDNJOŠKOLSKO OBRAZOVANJE</t>
  </si>
  <si>
    <t>Aktivnost: A2204-01 Djelatnost srednjih škola</t>
  </si>
  <si>
    <t>Izvor financiranje: 451 F.P. i dodatni udio u porezu na dohodak</t>
  </si>
  <si>
    <t>OPĆI DIO</t>
  </si>
  <si>
    <t>Brojčana oznaka i naziv računa prihoda i rashoda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</si>
  <si>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</si>
  <si>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</si>
  <si>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</si>
  <si>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</si>
  <si>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</si>
  <si>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</si>
  <si>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</si>
  <si>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</si>
  <si>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</si>
  <si>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</t>
  </si>
  <si>
    <t>Prihodi od pruženih usluga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</si>
  <si>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</si>
  <si>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</si>
  <si>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</si>
  <si>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</si>
  <si>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VLASTITI IZVORI</t>
  </si>
  <si>
    <t>Pomoći temeljem prijenosa EU sredstava</t>
  </si>
  <si>
    <t>Prihodi od prodaje proizvoda i robe te pruženih usluga i prihodi od donacija</t>
  </si>
  <si>
    <t>Donacije od pravnih i fizičkih osoba izvan općeg proračuna</t>
  </si>
  <si>
    <t>Prihodi iz nadležnog proračuna za financiranje rashoda za nabavu nefinancijske imovine</t>
  </si>
  <si>
    <t>Rezultat poslovanja</t>
  </si>
  <si>
    <t>Višak prihoda</t>
  </si>
  <si>
    <t>Višak/manjak prihoda</t>
  </si>
  <si>
    <t>Indeks</t>
  </si>
  <si>
    <t>PRIHODI POSLOVANJA</t>
  </si>
  <si>
    <t>SVEUKUPNO PRIHOD + VIŠAK PRIHODA</t>
  </si>
  <si>
    <t>RASHODI POSLOVANJA</t>
  </si>
  <si>
    <t>SVEUKUPNO RASHODI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</si>
  <si>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</si>
  <si>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</si>
  <si>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</si>
  <si>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</si>
  <si>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</si>
  <si>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</si>
  <si>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</si>
  <si>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</si>
  <si>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</si>
  <si>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</si>
  <si>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</si>
  <si>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</si>
  <si>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</si>
  <si>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</si>
  <si>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</si>
  <si>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</si>
  <si>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</si>
  <si>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</si>
  <si>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</si>
  <si>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</si>
  <si>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</si>
  <si>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</si>
  <si>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</si>
  <si>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</si>
  <si>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</si>
  <si>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</si>
  <si>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</si>
  <si>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</si>
  <si>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</si>
  <si>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</si>
  <si>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</si>
  <si>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</si>
  <si>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</si>
  <si>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Zatezne kamate</t>
  </si>
  <si>
    <t>Rashodi za nabavu neproizvedene dugotrajne imovine</t>
  </si>
  <si>
    <t>Nematerijalna imovina</t>
  </si>
  <si>
    <t>Licence</t>
  </si>
  <si>
    <t>Rashodi za nabavu proizvedene dugotrajne imovine</t>
  </si>
  <si>
    <t>Postrojenja i oprema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</si>
  <si>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</si>
  <si>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</si>
  <si>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</si>
  <si>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</si>
  <si>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</si>
  <si>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RASHODI ZA NABAVU NEFINANCIJSKE IMOVINE</t>
  </si>
  <si>
    <t>Ostale naknade troškova zaposlenima</t>
  </si>
  <si>
    <t>Materijal i sirovine</t>
  </si>
  <si>
    <t>Komunalne usluge</t>
  </si>
  <si>
    <t>Usluge promidžbe i informiranja</t>
  </si>
  <si>
    <t>Članarine i norme</t>
  </si>
  <si>
    <t>Ostali financijski rashodi</t>
  </si>
  <si>
    <t>Uredska oprema i namještaj</t>
  </si>
  <si>
    <t>Komunikacijska oprema</t>
  </si>
  <si>
    <t>MATERIJALNI RASHODI</t>
  </si>
  <si>
    <t>NAKNADE TROŠKOVA ZAPOSLENICIMA</t>
  </si>
  <si>
    <t>Naknade za prijevoz na posao i s posla</t>
  </si>
  <si>
    <t>Materijali  i sirovine</t>
  </si>
  <si>
    <t>Materijali i dijelovi za tekuće i investicijsko održavanje</t>
  </si>
  <si>
    <t>RASHODI ZA USLUGE</t>
  </si>
  <si>
    <t>Računala i računalna oprema</t>
  </si>
  <si>
    <t>Doprinosi za OZO</t>
  </si>
  <si>
    <t>OSTALI NESPOMENUTI RASHODI POSLOVANJA</t>
  </si>
  <si>
    <t>Aktivnost: A2204-07 Administracija i upravljanje</t>
  </si>
  <si>
    <t>Izvor financiranje: 51036 Državni proračun</t>
  </si>
  <si>
    <t>Novčana nak. posl. zbog nezapošljavanje osobe s inv.</t>
  </si>
  <si>
    <t>Program: 2204 SREDNJE ŠKOLSTVO – STANDARD</t>
  </si>
  <si>
    <t>Program: 2205 SREDNJE ŠKOLSTVO – IZNAD STANDARD</t>
  </si>
  <si>
    <t>Aktivnost: A2205-12 Podizanje kvalitete i standarda u školstvu</t>
  </si>
  <si>
    <t>Izvor financiranje: 5103 Državni proračun</t>
  </si>
  <si>
    <t>Plaće po sudskim presudama</t>
  </si>
  <si>
    <t>Naknade predst. i izvršnim tijelima povjerenstav i sl.</t>
  </si>
  <si>
    <t>Knjge</t>
  </si>
  <si>
    <t>Izvor financiranje: 41 Prihodi za posebne namjene</t>
  </si>
  <si>
    <t>Izvor financiranje: 61 Tekuće donacije – korisnici</t>
  </si>
  <si>
    <t>Izvor financiranje: 31 Vlastiti prihodi - korisnici</t>
  </si>
  <si>
    <t>Izvor financiranje: 42035 Višak prihoda poslovanja</t>
  </si>
  <si>
    <t>Izvor financiranje: 51037 Državni proračun</t>
  </si>
  <si>
    <t>Tekući projekt: T4306-16 Projekt Erasmus+ Različiti zajedno</t>
  </si>
  <si>
    <t>Tekući projekt: T4302-90 Projekt Erasmus+ Luna</t>
  </si>
  <si>
    <t>Stručna usavršavanja</t>
  </si>
  <si>
    <t xml:space="preserve">Prihodi za posebne namjene </t>
  </si>
  <si>
    <t>UKUPNO</t>
  </si>
  <si>
    <t>Vlastiti prihodi - korisnici</t>
  </si>
  <si>
    <t>Višak/manjak prihoda korisnici</t>
  </si>
  <si>
    <t>F.P. i dod. udio u por. na dohodak</t>
  </si>
  <si>
    <t>Državni proračun</t>
  </si>
  <si>
    <t>Tekuće donacije - korisnici</t>
  </si>
  <si>
    <t>šifra:</t>
  </si>
  <si>
    <t>Izvor financiranja:</t>
  </si>
  <si>
    <t>Prijenosi između proračunskih korisnika istog proračuna</t>
  </si>
  <si>
    <t>Tekući prijenosi između proračunskih korisnika istog proračuna temeljem prijenosa EU sredstava</t>
  </si>
  <si>
    <t>Prihodi od novčane naknade poslodavca zbog nezapošljavanja osoba s invaliditetom</t>
  </si>
  <si>
    <t>Tekući prijenosi između proračunskih korisnika istog proračuna</t>
  </si>
  <si>
    <t>Naknade građanima i kućanstvima na temelju osiguranja i druge nakanade</t>
  </si>
  <si>
    <t>Ostale naknade građanima i kućanstvima iz proračuna</t>
  </si>
  <si>
    <t>Naknade građanima i kućanstvima u novcu</t>
  </si>
  <si>
    <t>Ostali rashodi</t>
  </si>
  <si>
    <t>Tekuće donacije u novcu</t>
  </si>
  <si>
    <t>Naknade građanima i kućanstvima u naravi</t>
  </si>
  <si>
    <t>IZMJENE I DOPUNE FINANCIJSKOG PLANA HTUŠ ZADAR ZA 2023. GODINU - REBALANS 1</t>
  </si>
  <si>
    <t>Financijski plan Hotelijersko – turističke i ugostiteljske škole za 2023. godinu mijenja se i glasi:</t>
  </si>
  <si>
    <t>Proračun za 2023. godinu</t>
  </si>
  <si>
    <t>Povećanje/ smanjenje</t>
  </si>
  <si>
    <t>Prijedlog novog plana</t>
  </si>
  <si>
    <t>IZMJENE I DOPUNE FINANCIJSKOG PLANA HTUŠ ZADAR ZA 2023. GODINU - REBALANS 1 PREMA EKONOMSKOJ KLASIFIKACIJI</t>
  </si>
  <si>
    <t>IZMJENE I DOPUNE FINANCIJSKOG PLANA HTUŠ ZADAR ZA 2023. GODINU - REBALANS 1 PREMA EKONOMSKOJ KLASIFIKACIJI, PRHRAMIMA TE IZVORIMA FINANCIRANJA</t>
  </si>
  <si>
    <t>IZMJENE I DOPUNE FINANCIJSKOG PLANA HTUŠ ZADAR ZA 2023. GODINU - REBALANS 1 PREMA IZVORIMA FINANCIRANJA</t>
  </si>
  <si>
    <t>Plaće za redovan rad + sudske presude</t>
  </si>
  <si>
    <r>
      <t>4/2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</si>
  <si>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Program: 4302 PROJEKTI EU</t>
  </si>
  <si>
    <t>Program: 4306 NACIONALNI EU PROJEKTI</t>
  </si>
  <si>
    <t>MZO - Plaće</t>
  </si>
  <si>
    <t>MZO - Udžbenici</t>
  </si>
  <si>
    <t>PRIHODI I RASHODI PO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</si>
</sst>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/1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" fontId="0" fillId="0" borderId="0" xfId="0" applyNumberFormat="1"/>
    <xf numFmtId="0" fontId="7" fillId="2" borderId="21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0" xfId="0" applyNumberFormat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4" fontId="1" fillId="6" borderId="23" xfId="0" applyNumberFormat="1" applyFont="1" applyFill="1" applyBorder="1" applyAlignment="1">
      <alignment horizontal="right" vertical="center"/>
    </xf>
    <xf numFmtId="4" fontId="1" fillId="5" borderId="38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1" fillId="0" borderId="31" xfId="0" applyNumberFormat="1" applyFont="1" applyBorder="1" applyAlignment="1">
      <alignment vertical="center"/>
    </xf>
    <xf numFmtId="4" fontId="1" fillId="4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4" borderId="27" xfId="0" applyNumberFormat="1" applyFill="1" applyBorder="1" applyAlignment="1">
      <alignment horizontal="right" vertical="center"/>
    </xf>
    <xf numFmtId="4" fontId="1" fillId="2" borderId="3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6" xfId="0" applyNumberFormat="1" applyBorder="1" applyAlignment="1">
      <alignment horizontal="right" vertical="center"/>
    </xf>
    <xf numFmtId="0" fontId="1" fillId="0" borderId="0" xfId="0" applyFont="1" applyAlignment="1"/>
    <xf numFmtId="4" fontId="1" fillId="3" borderId="2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0" fillId="0" borderId="3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0" fillId="0" borderId="35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4" fontId="1" fillId="0" borderId="2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0" fillId="4" borderId="21" xfId="0" applyNumberFormat="1" applyFill="1" applyBorder="1" applyAlignment="1">
      <alignment horizontal="righ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0" fillId="4" borderId="27" xfId="0" applyNumberFormat="1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/>
    </xf>
    <xf numFmtId="4" fontId="1" fillId="4" borderId="21" xfId="0" applyNumberFormat="1" applyFont="1" applyFill="1" applyBorder="1" applyAlignment="1">
      <alignment horizontal="right" vertical="center"/>
    </xf>
    <xf numFmtId="4" fontId="5" fillId="4" borderId="35" xfId="0" applyNumberFormat="1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26" xfId="0" applyNumberFormat="1" applyFont="1" applyFill="1" applyBorder="1" applyAlignment="1">
      <alignment horizontal="right" vertical="center"/>
    </xf>
    <xf numFmtId="4" fontId="1" fillId="3" borderId="35" xfId="0" applyNumberFormat="1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4" fontId="0" fillId="0" borderId="35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1" fillId="5" borderId="35" xfId="0" applyNumberFormat="1" applyFont="1" applyFill="1" applyBorder="1" applyAlignment="1">
      <alignment horizontal="center" vertical="center"/>
    </xf>
    <xf numFmtId="4" fontId="1" fillId="5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4" fontId="1" fillId="6" borderId="23" xfId="0" applyNumberFormat="1" applyFont="1" applyFill="1" applyBorder="1" applyAlignment="1">
      <alignment horizontal="center" vertical="center"/>
    </xf>
    <xf numFmtId="4" fontId="1" fillId="5" borderId="29" xfId="0" applyNumberFormat="1" applyFont="1" applyFill="1" applyBorder="1" applyAlignment="1">
      <alignment horizontal="center" vertical="center"/>
    </xf>
    <xf numFmtId="4" fontId="1" fillId="5" borderId="30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38" xfId="0" applyNumberFormat="1" applyFont="1" applyFill="1" applyBorder="1" applyAlignment="1">
      <alignment horizontal="right" vertical="center"/>
    </xf>
    <xf numFmtId="4" fontId="1" fillId="3" borderId="29" xfId="0" applyNumberFormat="1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4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E47" sqref="E47"/>
    </sheetView>
  </sheetViews>
  <sheetFormatPr defaultRowHeight="15" x14ac:dyDescent="0.25"/>
  <cols>
    <col min="1" max="12" width="8.85546875" customWidth="1"/>
    <col min="15" max="15" width="12.7109375" bestFit="1" customWidth="1"/>
  </cols>
  <sheetData>
    <row r="1" spans="1:12" x14ac:dyDescent="0.25">
      <c r="A1" s="1" t="s">
        <v>21</v>
      </c>
    </row>
    <row r="2" spans="1:12" x14ac:dyDescent="0.25">
      <c r="A2" t="s">
        <v>19</v>
      </c>
    </row>
    <row r="3" spans="1:12" x14ac:dyDescent="0.25">
      <c r="A3" t="s">
        <v>20</v>
      </c>
    </row>
    <row r="5" spans="1:12" ht="15" customHeight="1" x14ac:dyDescent="0.25"/>
    <row r="6" spans="1:12" x14ac:dyDescent="0.25">
      <c r="A6" s="89" t="s">
        <v>154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8" spans="1:12" x14ac:dyDescent="0.25">
      <c r="A8" t="s">
        <v>0</v>
      </c>
    </row>
    <row r="10" spans="1:12" x14ac:dyDescent="0.25">
      <c r="A10" s="1" t="s">
        <v>155</v>
      </c>
    </row>
    <row r="12" spans="1:12" ht="15.75" thickBot="1" x14ac:dyDescent="0.3">
      <c r="A12" s="1" t="s">
        <v>1</v>
      </c>
    </row>
    <row r="13" spans="1:12" x14ac:dyDescent="0.25">
      <c r="A13" s="98" t="s">
        <v>2</v>
      </c>
      <c r="B13" s="99"/>
      <c r="C13" s="99"/>
      <c r="D13" s="100"/>
      <c r="E13" s="104" t="s">
        <v>156</v>
      </c>
      <c r="F13" s="105"/>
      <c r="G13" s="104" t="s">
        <v>157</v>
      </c>
      <c r="H13" s="105"/>
      <c r="I13" s="82" t="s">
        <v>158</v>
      </c>
      <c r="J13" s="82"/>
    </row>
    <row r="14" spans="1:12" x14ac:dyDescent="0.25">
      <c r="A14" s="101"/>
      <c r="B14" s="102"/>
      <c r="C14" s="102"/>
      <c r="D14" s="103"/>
      <c r="E14" s="106"/>
      <c r="F14" s="107"/>
      <c r="G14" s="106"/>
      <c r="H14" s="107"/>
      <c r="I14" s="83"/>
      <c r="J14" s="83"/>
    </row>
    <row r="15" spans="1:12" ht="15.75" thickBot="1" x14ac:dyDescent="0.3">
      <c r="A15" s="109">
        <v>1</v>
      </c>
      <c r="B15" s="110"/>
      <c r="C15" s="110"/>
      <c r="D15" s="111"/>
      <c r="E15" s="108">
        <v>2</v>
      </c>
      <c r="F15" s="108"/>
      <c r="G15" s="108">
        <v>3</v>
      </c>
      <c r="H15" s="108"/>
      <c r="I15" s="108">
        <v>4</v>
      </c>
      <c r="J15" s="108"/>
    </row>
    <row r="16" spans="1:12" ht="15" customHeight="1" x14ac:dyDescent="0.25">
      <c r="A16" s="90" t="s">
        <v>3</v>
      </c>
      <c r="B16" s="91"/>
      <c r="C16" s="91"/>
      <c r="D16" s="92"/>
      <c r="E16" s="96">
        <v>1530459.1</v>
      </c>
      <c r="F16" s="97"/>
      <c r="G16" s="86">
        <f t="shared" ref="G16:G17" si="0">I16-E16</f>
        <v>205790.97999999998</v>
      </c>
      <c r="H16" s="87"/>
      <c r="I16" s="96">
        <v>1736250.08</v>
      </c>
      <c r="J16" s="97"/>
    </row>
    <row r="17" spans="1:13" x14ac:dyDescent="0.25">
      <c r="A17" s="93" t="s">
        <v>4</v>
      </c>
      <c r="B17" s="94"/>
      <c r="C17" s="94"/>
      <c r="D17" s="95"/>
      <c r="E17" s="86">
        <v>0</v>
      </c>
      <c r="F17" s="87"/>
      <c r="G17" s="86">
        <f t="shared" si="0"/>
        <v>0</v>
      </c>
      <c r="H17" s="87"/>
      <c r="I17" s="86">
        <v>0</v>
      </c>
      <c r="J17" s="87"/>
    </row>
    <row r="18" spans="1:13" x14ac:dyDescent="0.25">
      <c r="A18" s="93" t="s">
        <v>16</v>
      </c>
      <c r="B18" s="94"/>
      <c r="C18" s="94"/>
      <c r="D18" s="95"/>
      <c r="E18" s="86">
        <v>21871.43</v>
      </c>
      <c r="F18" s="87"/>
      <c r="G18" s="86">
        <f>I18-E18</f>
        <v>8793.27</v>
      </c>
      <c r="H18" s="87"/>
      <c r="I18" s="86">
        <v>30664.7</v>
      </c>
      <c r="J18" s="87"/>
    </row>
    <row r="19" spans="1:13" x14ac:dyDescent="0.25">
      <c r="A19" s="121" t="s">
        <v>5</v>
      </c>
      <c r="B19" s="122"/>
      <c r="C19" s="122"/>
      <c r="D19" s="123"/>
      <c r="E19" s="88">
        <f>SUM(E16:F18)</f>
        <v>1552330.53</v>
      </c>
      <c r="F19" s="88"/>
      <c r="G19" s="88">
        <f>SUM(G16:H18)</f>
        <v>214584.24999999997</v>
      </c>
      <c r="H19" s="88"/>
      <c r="I19" s="88">
        <f>SUM(I16:J18)</f>
        <v>1766914.78</v>
      </c>
      <c r="J19" s="88"/>
      <c r="M19" s="36"/>
    </row>
    <row r="20" spans="1:13" x14ac:dyDescent="0.25">
      <c r="A20" s="93" t="s">
        <v>6</v>
      </c>
      <c r="B20" s="94"/>
      <c r="C20" s="94"/>
      <c r="D20" s="95"/>
      <c r="E20" s="86">
        <f>1552330.53-E21</f>
        <v>1549543.34</v>
      </c>
      <c r="F20" s="87"/>
      <c r="G20" s="86">
        <f>214584.25-G21</f>
        <v>212571.44</v>
      </c>
      <c r="H20" s="87"/>
      <c r="I20" s="86">
        <f>E20+G20</f>
        <v>1762114.78</v>
      </c>
      <c r="J20" s="87"/>
    </row>
    <row r="21" spans="1:13" x14ac:dyDescent="0.25">
      <c r="A21" s="93" t="s">
        <v>7</v>
      </c>
      <c r="B21" s="94"/>
      <c r="C21" s="94"/>
      <c r="D21" s="95"/>
      <c r="E21" s="86">
        <f>2787.19</f>
        <v>2787.19</v>
      </c>
      <c r="F21" s="87"/>
      <c r="G21" s="86">
        <v>2012.81</v>
      </c>
      <c r="H21" s="87"/>
      <c r="I21" s="86">
        <f>E21+G21</f>
        <v>4800</v>
      </c>
      <c r="J21" s="87"/>
    </row>
    <row r="22" spans="1:13" x14ac:dyDescent="0.25">
      <c r="A22" s="121" t="s">
        <v>8</v>
      </c>
      <c r="B22" s="122"/>
      <c r="C22" s="122"/>
      <c r="D22" s="123"/>
      <c r="E22" s="88">
        <f t="shared" ref="E22:G22" si="1">SUM(E20:F21)</f>
        <v>1552330.53</v>
      </c>
      <c r="F22" s="88"/>
      <c r="G22" s="88">
        <f t="shared" si="1"/>
        <v>214584.25</v>
      </c>
      <c r="H22" s="88"/>
      <c r="I22" s="88">
        <f>SUM(I20:J21)</f>
        <v>1766914.78</v>
      </c>
      <c r="J22" s="88"/>
      <c r="M22" s="36"/>
    </row>
    <row r="23" spans="1:13" ht="15.75" thickBot="1" x14ac:dyDescent="0.3">
      <c r="A23" s="118" t="s">
        <v>9</v>
      </c>
      <c r="B23" s="119"/>
      <c r="C23" s="119"/>
      <c r="D23" s="120"/>
      <c r="E23" s="74">
        <f t="shared" ref="E23:G23" si="2">E19-E22</f>
        <v>0</v>
      </c>
      <c r="F23" s="75"/>
      <c r="G23" s="74">
        <f t="shared" si="2"/>
        <v>0</v>
      </c>
      <c r="H23" s="75"/>
      <c r="I23" s="74">
        <f>I19-I22</f>
        <v>0</v>
      </c>
      <c r="J23" s="75"/>
      <c r="M23" s="36"/>
    </row>
    <row r="24" spans="1:13" x14ac:dyDescent="0.25">
      <c r="M24" s="36"/>
    </row>
    <row r="25" spans="1:13" ht="15.75" thickBot="1" x14ac:dyDescent="0.3">
      <c r="A25" s="1" t="s">
        <v>10</v>
      </c>
      <c r="M25" s="36"/>
    </row>
    <row r="26" spans="1:13" x14ac:dyDescent="0.25">
      <c r="A26" s="84" t="s">
        <v>11</v>
      </c>
      <c r="B26" s="84"/>
      <c r="C26" s="84"/>
      <c r="D26" s="84"/>
      <c r="E26" s="104" t="s">
        <v>156</v>
      </c>
      <c r="F26" s="105"/>
      <c r="G26" s="104" t="s">
        <v>157</v>
      </c>
      <c r="H26" s="105"/>
      <c r="I26" s="82" t="s">
        <v>158</v>
      </c>
      <c r="J26" s="82"/>
    </row>
    <row r="27" spans="1:13" ht="15.75" thickBot="1" x14ac:dyDescent="0.3">
      <c r="A27" s="85"/>
      <c r="B27" s="85"/>
      <c r="C27" s="85"/>
      <c r="D27" s="85"/>
      <c r="E27" s="106"/>
      <c r="F27" s="107"/>
      <c r="G27" s="106"/>
      <c r="H27" s="107"/>
      <c r="I27" s="83"/>
      <c r="J27" s="83"/>
      <c r="M27" s="36"/>
    </row>
    <row r="28" spans="1:13" x14ac:dyDescent="0.25">
      <c r="A28" s="76" t="s">
        <v>13</v>
      </c>
      <c r="B28" s="76"/>
      <c r="C28" s="76"/>
      <c r="D28" s="76"/>
      <c r="E28" s="79"/>
      <c r="F28" s="79"/>
      <c r="G28" s="79"/>
      <c r="H28" s="79"/>
      <c r="I28" s="79"/>
      <c r="J28" s="79"/>
    </row>
    <row r="29" spans="1:13" ht="15" customHeight="1" x14ac:dyDescent="0.25">
      <c r="A29" s="77" t="s">
        <v>12</v>
      </c>
      <c r="B29" s="77"/>
      <c r="C29" s="77"/>
      <c r="D29" s="77"/>
      <c r="E29" s="80"/>
      <c r="F29" s="80"/>
      <c r="G29" s="80"/>
      <c r="H29" s="80"/>
      <c r="I29" s="80"/>
      <c r="J29" s="80"/>
    </row>
    <row r="30" spans="1:13" ht="15.75" thickBot="1" x14ac:dyDescent="0.3">
      <c r="A30" s="78" t="s">
        <v>14</v>
      </c>
      <c r="B30" s="78"/>
      <c r="C30" s="78"/>
      <c r="D30" s="78"/>
      <c r="E30" s="81"/>
      <c r="F30" s="81"/>
      <c r="G30" s="81"/>
      <c r="H30" s="81"/>
      <c r="I30" s="81"/>
      <c r="J30" s="81"/>
      <c r="M30" s="36"/>
    </row>
    <row r="32" spans="1:13" ht="15.75" thickBot="1" x14ac:dyDescent="0.3">
      <c r="A32" s="1" t="s">
        <v>17</v>
      </c>
    </row>
    <row r="33" spans="1:10" x14ac:dyDescent="0.25">
      <c r="A33" s="84" t="s">
        <v>11</v>
      </c>
      <c r="B33" s="84"/>
      <c r="C33" s="84"/>
      <c r="D33" s="84"/>
      <c r="E33" s="104" t="s">
        <v>156</v>
      </c>
      <c r="F33" s="105"/>
      <c r="G33" s="104" t="s">
        <v>157</v>
      </c>
      <c r="H33" s="105"/>
      <c r="I33" s="82" t="s">
        <v>158</v>
      </c>
      <c r="J33" s="82"/>
    </row>
    <row r="34" spans="1:10" ht="15.75" thickBot="1" x14ac:dyDescent="0.3">
      <c r="A34" s="85"/>
      <c r="B34" s="85"/>
      <c r="C34" s="85"/>
      <c r="D34" s="85"/>
      <c r="E34" s="106"/>
      <c r="F34" s="107"/>
      <c r="G34" s="106"/>
      <c r="H34" s="107"/>
      <c r="I34" s="83"/>
      <c r="J34" s="83"/>
    </row>
    <row r="35" spans="1:10" x14ac:dyDescent="0.25">
      <c r="A35" s="76" t="s">
        <v>15</v>
      </c>
      <c r="B35" s="76"/>
      <c r="C35" s="76"/>
      <c r="D35" s="76"/>
      <c r="E35" s="79">
        <f>E18</f>
        <v>21871.43</v>
      </c>
      <c r="F35" s="79"/>
      <c r="G35" s="79">
        <f t="shared" ref="G35" si="3">G18</f>
        <v>8793.27</v>
      </c>
      <c r="H35" s="79"/>
      <c r="I35" s="79">
        <f t="shared" ref="I35" si="4">I18</f>
        <v>30664.7</v>
      </c>
      <c r="J35" s="79"/>
    </row>
    <row r="36" spans="1:10" ht="15" customHeight="1" x14ac:dyDescent="0.25">
      <c r="A36" s="112" t="s">
        <v>18</v>
      </c>
      <c r="B36" s="112"/>
      <c r="C36" s="112"/>
      <c r="D36" s="112"/>
      <c r="E36" s="114">
        <f t="shared" ref="E36:G36" si="5">E23</f>
        <v>0</v>
      </c>
      <c r="F36" s="115"/>
      <c r="G36" s="114">
        <f t="shared" si="5"/>
        <v>0</v>
      </c>
      <c r="H36" s="115"/>
      <c r="I36" s="114">
        <f>I23</f>
        <v>0</v>
      </c>
      <c r="J36" s="115"/>
    </row>
    <row r="37" spans="1:10" ht="15.75" thickBot="1" x14ac:dyDescent="0.3">
      <c r="A37" s="113"/>
      <c r="B37" s="113"/>
      <c r="C37" s="113"/>
      <c r="D37" s="113"/>
      <c r="E37" s="116"/>
      <c r="F37" s="117"/>
      <c r="G37" s="116"/>
      <c r="H37" s="117"/>
      <c r="I37" s="116"/>
      <c r="J37" s="117"/>
    </row>
    <row r="39" spans="1:10" ht="15" customHeight="1" x14ac:dyDescent="0.25"/>
  </sheetData>
  <customSheetViews>
    <customSheetView guid="{005C429F-8448-44DF-83AD-8A930973E873}" topLeftCell="A10">
      <selection activeCell="N35" sqref="N35"/>
      <pageMargins left="0.7" right="0.7" top="0.75" bottom="0.75" header="0.3" footer="0.3"/>
      <pageSetup paperSize="9" scale="92" orientation="portrait" r:id="rId1"/>
    </customSheetView>
  </customSheetViews>
  <mergeCells count="69">
    <mergeCell ref="G21:H21"/>
    <mergeCell ref="E13:F14"/>
    <mergeCell ref="E15:F15"/>
    <mergeCell ref="E16:F16"/>
    <mergeCell ref="E17:F17"/>
    <mergeCell ref="E18:F18"/>
    <mergeCell ref="E19:F19"/>
    <mergeCell ref="E20:F20"/>
    <mergeCell ref="E21:F21"/>
    <mergeCell ref="G16:H16"/>
    <mergeCell ref="G17:H17"/>
    <mergeCell ref="G18:H18"/>
    <mergeCell ref="G19:H19"/>
    <mergeCell ref="G20:H20"/>
    <mergeCell ref="A18:D18"/>
    <mergeCell ref="A20:D20"/>
    <mergeCell ref="A21:D21"/>
    <mergeCell ref="A19:D19"/>
    <mergeCell ref="A22:D22"/>
    <mergeCell ref="G22:H22"/>
    <mergeCell ref="G23:H23"/>
    <mergeCell ref="A33:D34"/>
    <mergeCell ref="G33:H34"/>
    <mergeCell ref="G26:H27"/>
    <mergeCell ref="A23:D23"/>
    <mergeCell ref="E22:F22"/>
    <mergeCell ref="E23:F23"/>
    <mergeCell ref="E26:F27"/>
    <mergeCell ref="E28:F28"/>
    <mergeCell ref="E29:F29"/>
    <mergeCell ref="E30:F30"/>
    <mergeCell ref="E33:F34"/>
    <mergeCell ref="I33:J34"/>
    <mergeCell ref="A36:D37"/>
    <mergeCell ref="A35:D35"/>
    <mergeCell ref="G35:H35"/>
    <mergeCell ref="I35:J35"/>
    <mergeCell ref="G36:H37"/>
    <mergeCell ref="I36:J37"/>
    <mergeCell ref="E35:F35"/>
    <mergeCell ref="E36:F37"/>
    <mergeCell ref="A6:L6"/>
    <mergeCell ref="A16:D16"/>
    <mergeCell ref="A17:D17"/>
    <mergeCell ref="I16:J16"/>
    <mergeCell ref="I17:J17"/>
    <mergeCell ref="A13:D14"/>
    <mergeCell ref="G13:H14"/>
    <mergeCell ref="I13:J14"/>
    <mergeCell ref="G15:H15"/>
    <mergeCell ref="I15:J15"/>
    <mergeCell ref="A15:D15"/>
    <mergeCell ref="I18:J18"/>
    <mergeCell ref="I19:J19"/>
    <mergeCell ref="I20:J20"/>
    <mergeCell ref="I21:J21"/>
    <mergeCell ref="I22:J22"/>
    <mergeCell ref="I23:J23"/>
    <mergeCell ref="A28:D28"/>
    <mergeCell ref="A29:D29"/>
    <mergeCell ref="A30:D30"/>
    <mergeCell ref="G28:H28"/>
    <mergeCell ref="G29:H29"/>
    <mergeCell ref="G30:H30"/>
    <mergeCell ref="I28:J28"/>
    <mergeCell ref="I29:J29"/>
    <mergeCell ref="I30:J30"/>
    <mergeCell ref="I26:J27"/>
    <mergeCell ref="A26:D27"/>
  </mergeCells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Normal="100" workbookViewId="0">
      <selection activeCell="O10" sqref="O10"/>
    </sheetView>
  </sheetViews>
  <sheetFormatPr defaultRowHeight="15" x14ac:dyDescent="0.25"/>
  <cols>
    <col min="1" max="1" width="5.28515625" customWidth="1"/>
    <col min="2" max="15" width="8.85546875" customWidth="1"/>
    <col min="16" max="16" width="13.7109375" bestFit="1" customWidth="1"/>
    <col min="17" max="17" width="8.85546875" customWidth="1"/>
  </cols>
  <sheetData>
    <row r="1" spans="1:14" x14ac:dyDescent="0.25">
      <c r="A1" s="1" t="s">
        <v>21</v>
      </c>
    </row>
    <row r="2" spans="1:14" x14ac:dyDescent="0.25">
      <c r="A2" t="s">
        <v>19</v>
      </c>
    </row>
    <row r="3" spans="1:14" x14ac:dyDescent="0.25">
      <c r="A3" t="s">
        <v>20</v>
      </c>
    </row>
    <row r="5" spans="1:14" x14ac:dyDescent="0.25">
      <c r="A5" s="89" t="s">
        <v>159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1:14" ht="15.75" thickBot="1" x14ac:dyDescent="0.3">
      <c r="A7" s="1" t="s">
        <v>25</v>
      </c>
    </row>
    <row r="8" spans="1:14" ht="15" customHeight="1" x14ac:dyDescent="0.25">
      <c r="A8" s="197" t="s">
        <v>26</v>
      </c>
      <c r="B8" s="198"/>
      <c r="C8" s="198"/>
      <c r="D8" s="198"/>
      <c r="E8" s="198"/>
      <c r="F8" s="199"/>
      <c r="G8" s="104" t="s">
        <v>156</v>
      </c>
      <c r="H8" s="105"/>
      <c r="I8" s="104" t="s">
        <v>157</v>
      </c>
      <c r="J8" s="105"/>
      <c r="K8" s="82" t="s">
        <v>158</v>
      </c>
      <c r="L8" s="82"/>
      <c r="M8" s="25" t="s">
        <v>50</v>
      </c>
      <c r="N8" s="2"/>
    </row>
    <row r="9" spans="1:14" x14ac:dyDescent="0.25">
      <c r="A9" s="200"/>
      <c r="B9" s="201"/>
      <c r="C9" s="201"/>
      <c r="D9" s="201"/>
      <c r="E9" s="201"/>
      <c r="F9" s="202"/>
      <c r="G9" s="106"/>
      <c r="H9" s="107"/>
      <c r="I9" s="106"/>
      <c r="J9" s="107"/>
      <c r="K9" s="83"/>
      <c r="L9" s="83"/>
      <c r="M9" s="28" t="s">
        <v>163</v>
      </c>
      <c r="N9" s="2"/>
    </row>
    <row r="10" spans="1:14" ht="15.75" thickBot="1" x14ac:dyDescent="0.3">
      <c r="A10" s="194">
        <v>1</v>
      </c>
      <c r="B10" s="195"/>
      <c r="C10" s="195"/>
      <c r="D10" s="195"/>
      <c r="E10" s="195"/>
      <c r="F10" s="196"/>
      <c r="G10" s="194">
        <v>2</v>
      </c>
      <c r="H10" s="195"/>
      <c r="I10" s="194">
        <v>3</v>
      </c>
      <c r="J10" s="195"/>
      <c r="K10" s="194">
        <v>4</v>
      </c>
      <c r="L10" s="195"/>
      <c r="M10" s="27">
        <v>5</v>
      </c>
      <c r="N10" s="2"/>
    </row>
    <row r="11" spans="1:14" x14ac:dyDescent="0.25">
      <c r="A11" s="9">
        <v>6</v>
      </c>
      <c r="B11" s="180" t="s">
        <v>51</v>
      </c>
      <c r="C11" s="180"/>
      <c r="D11" s="180"/>
      <c r="E11" s="180"/>
      <c r="F11" s="181"/>
      <c r="G11" s="184">
        <f>G12+G30+G36+G43</f>
        <v>1530459.1</v>
      </c>
      <c r="H11" s="185"/>
      <c r="I11" s="184">
        <f>I12+I30+I36+I43</f>
        <v>205790.97999999975</v>
      </c>
      <c r="J11" s="185"/>
      <c r="K11" s="184">
        <f>K12+K30+K36+K43</f>
        <v>1736250.0799999998</v>
      </c>
      <c r="L11" s="185"/>
      <c r="M11" s="63">
        <f>K11/G11*100</f>
        <v>113.44635606400719</v>
      </c>
      <c r="N11" s="2"/>
    </row>
    <row r="12" spans="1:14" ht="15" customHeight="1" x14ac:dyDescent="0.25">
      <c r="A12" s="10">
        <v>63</v>
      </c>
      <c r="B12" s="205" t="s">
        <v>27</v>
      </c>
      <c r="C12" s="205"/>
      <c r="D12" s="205"/>
      <c r="E12" s="205"/>
      <c r="F12" s="206"/>
      <c r="G12" s="149">
        <f t="shared" ref="G12" si="0">G14+G16+G22+G24</f>
        <v>1386820.6500000001</v>
      </c>
      <c r="H12" s="150"/>
      <c r="I12" s="149">
        <f>I14+I16+I22+I24</f>
        <v>151040.74999999977</v>
      </c>
      <c r="J12" s="150"/>
      <c r="K12" s="149">
        <f>K14+K16+K22+K24</f>
        <v>1537861.4</v>
      </c>
      <c r="L12" s="150"/>
      <c r="M12" s="187">
        <f>K12/G12*100</f>
        <v>110.89115236350136</v>
      </c>
      <c r="N12" s="2"/>
    </row>
    <row r="13" spans="1:14" ht="15" customHeight="1" x14ac:dyDescent="0.25">
      <c r="A13" s="11"/>
      <c r="B13" s="205"/>
      <c r="C13" s="205"/>
      <c r="D13" s="205"/>
      <c r="E13" s="205"/>
      <c r="F13" s="206"/>
      <c r="G13" s="151"/>
      <c r="H13" s="152"/>
      <c r="I13" s="151"/>
      <c r="J13" s="152"/>
      <c r="K13" s="151"/>
      <c r="L13" s="152"/>
      <c r="M13" s="187"/>
      <c r="N13" s="2"/>
    </row>
    <row r="14" spans="1:14" x14ac:dyDescent="0.25">
      <c r="A14" s="12">
        <v>634</v>
      </c>
      <c r="B14" s="4" t="s">
        <v>28</v>
      </c>
      <c r="C14" s="4"/>
      <c r="D14" s="4"/>
      <c r="E14" s="4"/>
      <c r="F14" s="13"/>
      <c r="G14" s="153">
        <f t="shared" ref="G14" si="1">G15</f>
        <v>0</v>
      </c>
      <c r="H14" s="154"/>
      <c r="I14" s="153">
        <f>I15</f>
        <v>0</v>
      </c>
      <c r="J14" s="154"/>
      <c r="K14" s="153">
        <f t="shared" ref="K14" si="2">K15</f>
        <v>0</v>
      </c>
      <c r="L14" s="154"/>
      <c r="M14" s="64" t="e">
        <f>K14/G14*100</f>
        <v>#DIV/0!</v>
      </c>
      <c r="N14" s="2"/>
    </row>
    <row r="15" spans="1:14" x14ac:dyDescent="0.25">
      <c r="A15" s="14">
        <v>6341</v>
      </c>
      <c r="B15" s="7" t="s">
        <v>29</v>
      </c>
      <c r="C15" s="7"/>
      <c r="D15" s="7"/>
      <c r="E15" s="7"/>
      <c r="F15" s="15"/>
      <c r="G15" s="157"/>
      <c r="H15" s="158"/>
      <c r="I15" s="157">
        <f>K15-G15</f>
        <v>0</v>
      </c>
      <c r="J15" s="158"/>
      <c r="K15" s="157"/>
      <c r="L15" s="158"/>
      <c r="M15" s="64" t="e">
        <f>K15/G15*100</f>
        <v>#DIV/0!</v>
      </c>
      <c r="N15" s="2"/>
    </row>
    <row r="16" spans="1:14" x14ac:dyDescent="0.25">
      <c r="A16" s="16">
        <v>636</v>
      </c>
      <c r="B16" s="207" t="s">
        <v>30</v>
      </c>
      <c r="C16" s="207"/>
      <c r="D16" s="207"/>
      <c r="E16" s="207"/>
      <c r="F16" s="208"/>
      <c r="G16" s="174">
        <f t="shared" ref="G16" si="3">G18+G20</f>
        <v>1386820.6500000001</v>
      </c>
      <c r="H16" s="175"/>
      <c r="I16" s="174">
        <f>I18+I20</f>
        <v>151040.74999999977</v>
      </c>
      <c r="J16" s="175"/>
      <c r="K16" s="174">
        <f t="shared" ref="K16" si="4">K18+K20</f>
        <v>1537861.4</v>
      </c>
      <c r="L16" s="175"/>
      <c r="M16" s="140">
        <f>K16/G16*100</f>
        <v>110.89115236350136</v>
      </c>
      <c r="N16" s="2"/>
    </row>
    <row r="17" spans="1:16" x14ac:dyDescent="0.25">
      <c r="A17" s="11"/>
      <c r="B17" s="207"/>
      <c r="C17" s="207"/>
      <c r="D17" s="207"/>
      <c r="E17" s="207"/>
      <c r="F17" s="208"/>
      <c r="G17" s="176"/>
      <c r="H17" s="177"/>
      <c r="I17" s="176"/>
      <c r="J17" s="177"/>
      <c r="K17" s="176"/>
      <c r="L17" s="177"/>
      <c r="M17" s="140"/>
      <c r="N17" s="2"/>
    </row>
    <row r="18" spans="1:16" ht="15" customHeight="1" x14ac:dyDescent="0.25">
      <c r="A18" s="17">
        <v>6361</v>
      </c>
      <c r="B18" s="209" t="s">
        <v>31</v>
      </c>
      <c r="C18" s="209"/>
      <c r="D18" s="209"/>
      <c r="E18" s="209"/>
      <c r="F18" s="210"/>
      <c r="G18" s="145">
        <f>16988.53+1369832.12</f>
        <v>1386820.6500000001</v>
      </c>
      <c r="H18" s="146"/>
      <c r="I18" s="145">
        <f>K18-G18</f>
        <v>150040.74999999977</v>
      </c>
      <c r="J18" s="146"/>
      <c r="K18" s="145">
        <f>40161.4+1496700</f>
        <v>1536861.4</v>
      </c>
      <c r="L18" s="146"/>
      <c r="M18" s="140">
        <f>K18/G18*100</f>
        <v>110.81904498609822</v>
      </c>
      <c r="N18" s="2"/>
      <c r="O18" s="36"/>
    </row>
    <row r="19" spans="1:16" x14ac:dyDescent="0.25">
      <c r="A19" s="18"/>
      <c r="B19" s="211"/>
      <c r="C19" s="211"/>
      <c r="D19" s="211"/>
      <c r="E19" s="211"/>
      <c r="F19" s="212"/>
      <c r="G19" s="147"/>
      <c r="H19" s="148"/>
      <c r="I19" s="147"/>
      <c r="J19" s="148"/>
      <c r="K19" s="147"/>
      <c r="L19" s="148"/>
      <c r="M19" s="140"/>
      <c r="N19" s="2"/>
    </row>
    <row r="20" spans="1:16" ht="15" customHeight="1" x14ac:dyDescent="0.25">
      <c r="A20" s="17">
        <v>6362</v>
      </c>
      <c r="B20" s="209" t="s">
        <v>32</v>
      </c>
      <c r="C20" s="209"/>
      <c r="D20" s="209"/>
      <c r="E20" s="209"/>
      <c r="F20" s="210"/>
      <c r="G20" s="145"/>
      <c r="H20" s="146"/>
      <c r="I20" s="145">
        <f>K20-G20</f>
        <v>1000</v>
      </c>
      <c r="J20" s="146"/>
      <c r="K20" s="145">
        <v>1000</v>
      </c>
      <c r="L20" s="146"/>
      <c r="M20" s="140" t="e">
        <f>K20/G20*100</f>
        <v>#DIV/0!</v>
      </c>
      <c r="N20" s="2"/>
    </row>
    <row r="21" spans="1:16" x14ac:dyDescent="0.25">
      <c r="A21" s="18"/>
      <c r="B21" s="211"/>
      <c r="C21" s="211"/>
      <c r="D21" s="211"/>
      <c r="E21" s="211"/>
      <c r="F21" s="212"/>
      <c r="G21" s="147"/>
      <c r="H21" s="148"/>
      <c r="I21" s="147"/>
      <c r="J21" s="148"/>
      <c r="K21" s="147"/>
      <c r="L21" s="148"/>
      <c r="M21" s="140"/>
      <c r="N21" s="2"/>
    </row>
    <row r="22" spans="1:16" x14ac:dyDescent="0.25">
      <c r="A22" s="12">
        <v>638</v>
      </c>
      <c r="B22" s="4" t="s">
        <v>43</v>
      </c>
      <c r="C22" s="4"/>
      <c r="D22" s="4"/>
      <c r="E22" s="4"/>
      <c r="F22" s="13"/>
      <c r="G22" s="153">
        <f t="shared" ref="G22:I22" si="5">G23</f>
        <v>0</v>
      </c>
      <c r="H22" s="154"/>
      <c r="I22" s="153">
        <f t="shared" si="5"/>
        <v>0</v>
      </c>
      <c r="J22" s="154"/>
      <c r="K22" s="153">
        <f t="shared" ref="K22" si="6">K23</f>
        <v>0</v>
      </c>
      <c r="L22" s="154"/>
      <c r="M22" s="64" t="e">
        <f>K22/G22*100</f>
        <v>#DIV/0!</v>
      </c>
      <c r="N22" s="2"/>
    </row>
    <row r="23" spans="1:16" x14ac:dyDescent="0.25">
      <c r="A23" s="14">
        <v>6381</v>
      </c>
      <c r="B23" s="7" t="s">
        <v>43</v>
      </c>
      <c r="C23" s="7"/>
      <c r="D23" s="7"/>
      <c r="E23" s="7"/>
      <c r="F23" s="15"/>
      <c r="G23" s="157"/>
      <c r="H23" s="158"/>
      <c r="I23" s="157">
        <f>K23-G23</f>
        <v>0</v>
      </c>
      <c r="J23" s="158"/>
      <c r="K23" s="157"/>
      <c r="L23" s="158"/>
      <c r="M23" s="64" t="e">
        <f>K23/G23*100</f>
        <v>#DIV/0!</v>
      </c>
      <c r="N23" s="2"/>
    </row>
    <row r="24" spans="1:16" x14ac:dyDescent="0.25">
      <c r="A24" s="16">
        <v>639</v>
      </c>
      <c r="B24" s="213" t="s">
        <v>144</v>
      </c>
      <c r="C24" s="213"/>
      <c r="D24" s="213"/>
      <c r="E24" s="213"/>
      <c r="F24" s="214"/>
      <c r="G24" s="174">
        <f t="shared" ref="G24" si="7">G26+G28</f>
        <v>0</v>
      </c>
      <c r="H24" s="175"/>
      <c r="I24" s="174">
        <f>I26+I28</f>
        <v>0</v>
      </c>
      <c r="J24" s="175"/>
      <c r="K24" s="174">
        <f>K26+K28</f>
        <v>0</v>
      </c>
      <c r="L24" s="175"/>
      <c r="M24" s="140" t="e">
        <f>K24/G24*100</f>
        <v>#DIV/0!</v>
      </c>
      <c r="N24" s="2"/>
    </row>
    <row r="25" spans="1:16" x14ac:dyDescent="0.25">
      <c r="A25" s="11"/>
      <c r="B25" s="215"/>
      <c r="C25" s="215"/>
      <c r="D25" s="215"/>
      <c r="E25" s="215"/>
      <c r="F25" s="216"/>
      <c r="G25" s="176"/>
      <c r="H25" s="177"/>
      <c r="I25" s="176"/>
      <c r="J25" s="177"/>
      <c r="K25" s="176"/>
      <c r="L25" s="177"/>
      <c r="M25" s="140"/>
      <c r="N25" s="2"/>
    </row>
    <row r="26" spans="1:16" x14ac:dyDescent="0.25">
      <c r="A26" s="17">
        <v>6391</v>
      </c>
      <c r="B26" s="141" t="s">
        <v>147</v>
      </c>
      <c r="C26" s="141"/>
      <c r="D26" s="141"/>
      <c r="E26" s="141"/>
      <c r="F26" s="142"/>
      <c r="G26" s="145"/>
      <c r="H26" s="146"/>
      <c r="I26" s="145">
        <f>K26-G26</f>
        <v>0</v>
      </c>
      <c r="J26" s="146"/>
      <c r="K26" s="145"/>
      <c r="L26" s="146"/>
      <c r="M26" s="140" t="e">
        <f>K26/G26*100</f>
        <v>#DIV/0!</v>
      </c>
      <c r="N26" s="2"/>
      <c r="P26" s="36"/>
    </row>
    <row r="27" spans="1:16" x14ac:dyDescent="0.25">
      <c r="A27" s="11"/>
      <c r="B27" s="143"/>
      <c r="C27" s="143"/>
      <c r="D27" s="143"/>
      <c r="E27" s="143"/>
      <c r="F27" s="144"/>
      <c r="G27" s="147"/>
      <c r="H27" s="148"/>
      <c r="I27" s="147"/>
      <c r="J27" s="148"/>
      <c r="K27" s="147"/>
      <c r="L27" s="148"/>
      <c r="M27" s="140"/>
      <c r="N27" s="2"/>
    </row>
    <row r="28" spans="1:16" x14ac:dyDescent="0.25">
      <c r="A28" s="17">
        <v>6393</v>
      </c>
      <c r="B28" s="141" t="s">
        <v>145</v>
      </c>
      <c r="C28" s="141"/>
      <c r="D28" s="141"/>
      <c r="E28" s="141"/>
      <c r="F28" s="142"/>
      <c r="G28" s="145"/>
      <c r="H28" s="146"/>
      <c r="I28" s="145">
        <f>K28-G28</f>
        <v>0</v>
      </c>
      <c r="J28" s="146"/>
      <c r="K28" s="145"/>
      <c r="L28" s="146"/>
      <c r="M28" s="140" t="e">
        <f>K28/G28*100</f>
        <v>#DIV/0!</v>
      </c>
      <c r="N28" s="2"/>
    </row>
    <row r="29" spans="1:16" x14ac:dyDescent="0.25">
      <c r="A29" s="18"/>
      <c r="B29" s="143"/>
      <c r="C29" s="143"/>
      <c r="D29" s="143"/>
      <c r="E29" s="143"/>
      <c r="F29" s="144"/>
      <c r="G29" s="147"/>
      <c r="H29" s="148"/>
      <c r="I29" s="147"/>
      <c r="J29" s="148"/>
      <c r="K29" s="147"/>
      <c r="L29" s="148"/>
      <c r="M29" s="140"/>
      <c r="N29" s="2"/>
    </row>
    <row r="30" spans="1:16" x14ac:dyDescent="0.25">
      <c r="A30" s="10">
        <v>65</v>
      </c>
      <c r="B30" s="205" t="s">
        <v>33</v>
      </c>
      <c r="C30" s="205"/>
      <c r="D30" s="205"/>
      <c r="E30" s="205"/>
      <c r="F30" s="206"/>
      <c r="G30" s="149">
        <f t="shared" ref="G30" si="8">G32</f>
        <v>1061.79</v>
      </c>
      <c r="H30" s="150"/>
      <c r="I30" s="149">
        <f>I32</f>
        <v>-461.78999999999996</v>
      </c>
      <c r="J30" s="150"/>
      <c r="K30" s="149">
        <f t="shared" ref="K30" si="9">K32</f>
        <v>600</v>
      </c>
      <c r="L30" s="150"/>
      <c r="M30" s="187">
        <f>K30/G30*100</f>
        <v>56.508349108580788</v>
      </c>
      <c r="N30" s="2"/>
    </row>
    <row r="31" spans="1:16" x14ac:dyDescent="0.25">
      <c r="A31" s="11"/>
      <c r="B31" s="205"/>
      <c r="C31" s="205"/>
      <c r="D31" s="205"/>
      <c r="E31" s="205"/>
      <c r="F31" s="206"/>
      <c r="G31" s="151"/>
      <c r="H31" s="152"/>
      <c r="I31" s="151"/>
      <c r="J31" s="152"/>
      <c r="K31" s="151"/>
      <c r="L31" s="152"/>
      <c r="M31" s="187"/>
      <c r="N31" s="2"/>
    </row>
    <row r="32" spans="1:16" x14ac:dyDescent="0.25">
      <c r="A32" s="12">
        <v>652</v>
      </c>
      <c r="B32" s="4" t="s">
        <v>34</v>
      </c>
      <c r="C32" s="4"/>
      <c r="D32" s="4"/>
      <c r="E32" s="4"/>
      <c r="F32" s="13"/>
      <c r="G32" s="153">
        <f t="shared" ref="G32:I32" si="10">G33+G34</f>
        <v>1061.79</v>
      </c>
      <c r="H32" s="154"/>
      <c r="I32" s="153">
        <f t="shared" si="10"/>
        <v>-461.78999999999996</v>
      </c>
      <c r="J32" s="154"/>
      <c r="K32" s="153">
        <f t="shared" ref="K32" si="11">K33+K34</f>
        <v>600</v>
      </c>
      <c r="L32" s="154"/>
      <c r="M32" s="64">
        <f>K32/G32*100</f>
        <v>56.508349108580788</v>
      </c>
      <c r="N32" s="2"/>
      <c r="P32" s="36"/>
    </row>
    <row r="33" spans="1:16" x14ac:dyDescent="0.25">
      <c r="A33" s="14">
        <v>6526</v>
      </c>
      <c r="B33" s="7" t="s">
        <v>35</v>
      </c>
      <c r="C33" s="7"/>
      <c r="D33" s="7"/>
      <c r="E33" s="7"/>
      <c r="F33" s="15"/>
      <c r="G33" s="157">
        <v>1061.79</v>
      </c>
      <c r="H33" s="158"/>
      <c r="I33" s="157">
        <f>K33-G33</f>
        <v>-461.78999999999996</v>
      </c>
      <c r="J33" s="158"/>
      <c r="K33" s="157">
        <v>600</v>
      </c>
      <c r="L33" s="158"/>
      <c r="M33" s="64">
        <f>K33/G33*100</f>
        <v>56.508349108580788</v>
      </c>
      <c r="N33" s="2"/>
    </row>
    <row r="34" spans="1:16" x14ac:dyDescent="0.25">
      <c r="A34" s="17">
        <v>6528</v>
      </c>
      <c r="B34" s="141" t="s">
        <v>146</v>
      </c>
      <c r="C34" s="141"/>
      <c r="D34" s="141"/>
      <c r="E34" s="141"/>
      <c r="F34" s="142"/>
      <c r="G34" s="145"/>
      <c r="H34" s="146"/>
      <c r="I34" s="145">
        <f>K34-G34</f>
        <v>0</v>
      </c>
      <c r="J34" s="146"/>
      <c r="K34" s="145"/>
      <c r="L34" s="146"/>
      <c r="M34" s="155" t="e">
        <f>K34/G34*100</f>
        <v>#DIV/0!</v>
      </c>
      <c r="N34" s="2"/>
    </row>
    <row r="35" spans="1:16" x14ac:dyDescent="0.25">
      <c r="A35" s="18"/>
      <c r="B35" s="143"/>
      <c r="C35" s="143"/>
      <c r="D35" s="143"/>
      <c r="E35" s="143"/>
      <c r="F35" s="144"/>
      <c r="G35" s="147"/>
      <c r="H35" s="148"/>
      <c r="I35" s="147"/>
      <c r="J35" s="148"/>
      <c r="K35" s="147"/>
      <c r="L35" s="148"/>
      <c r="M35" s="156"/>
      <c r="N35" s="2"/>
    </row>
    <row r="36" spans="1:16" x14ac:dyDescent="0.25">
      <c r="A36" s="10">
        <v>66</v>
      </c>
      <c r="B36" s="205" t="s">
        <v>44</v>
      </c>
      <c r="C36" s="205"/>
      <c r="D36" s="205"/>
      <c r="E36" s="205"/>
      <c r="F36" s="206"/>
      <c r="G36" s="149">
        <f t="shared" ref="G36:I36" si="12">G38+G40</f>
        <v>1592.68</v>
      </c>
      <c r="H36" s="150"/>
      <c r="I36" s="149">
        <f t="shared" si="12"/>
        <v>5407.32</v>
      </c>
      <c r="J36" s="150"/>
      <c r="K36" s="149">
        <f t="shared" ref="K36" si="13">K38+K40</f>
        <v>7000</v>
      </c>
      <c r="L36" s="150"/>
      <c r="M36" s="187">
        <f>K36/G36*100</f>
        <v>439.51076173493726</v>
      </c>
      <c r="N36" s="2"/>
      <c r="P36" s="36"/>
    </row>
    <row r="37" spans="1:16" x14ac:dyDescent="0.25">
      <c r="A37" s="11"/>
      <c r="B37" s="205"/>
      <c r="C37" s="205"/>
      <c r="D37" s="205"/>
      <c r="E37" s="205"/>
      <c r="F37" s="206"/>
      <c r="G37" s="151"/>
      <c r="H37" s="152"/>
      <c r="I37" s="151"/>
      <c r="J37" s="152"/>
      <c r="K37" s="151"/>
      <c r="L37" s="152"/>
      <c r="M37" s="187"/>
      <c r="N37" s="2"/>
    </row>
    <row r="38" spans="1:16" x14ac:dyDescent="0.25">
      <c r="A38" s="12">
        <v>661</v>
      </c>
      <c r="B38" s="4" t="s">
        <v>36</v>
      </c>
      <c r="C38" s="4"/>
      <c r="D38" s="4"/>
      <c r="E38" s="4"/>
      <c r="F38" s="13"/>
      <c r="G38" s="153">
        <f t="shared" ref="G38:I38" si="14">G39</f>
        <v>1592.68</v>
      </c>
      <c r="H38" s="154"/>
      <c r="I38" s="153">
        <f t="shared" si="14"/>
        <v>1407.32</v>
      </c>
      <c r="J38" s="154"/>
      <c r="K38" s="153">
        <f t="shared" ref="K38" si="15">K39</f>
        <v>3000</v>
      </c>
      <c r="L38" s="154"/>
      <c r="M38" s="64">
        <f>K38/G38*100</f>
        <v>188.36175502925886</v>
      </c>
      <c r="N38" s="2"/>
      <c r="P38" s="36"/>
    </row>
    <row r="39" spans="1:16" x14ac:dyDescent="0.25">
      <c r="A39" s="14">
        <v>6615</v>
      </c>
      <c r="B39" s="7" t="s">
        <v>37</v>
      </c>
      <c r="C39" s="7"/>
      <c r="D39" s="7"/>
      <c r="E39" s="7"/>
      <c r="F39" s="15"/>
      <c r="G39" s="157">
        <f>1592.68</f>
        <v>1592.68</v>
      </c>
      <c r="H39" s="158"/>
      <c r="I39" s="157">
        <f>K39-G39</f>
        <v>1407.32</v>
      </c>
      <c r="J39" s="158"/>
      <c r="K39" s="157">
        <v>3000</v>
      </c>
      <c r="L39" s="158"/>
      <c r="M39" s="64">
        <f>K39/G39*100</f>
        <v>188.36175502925886</v>
      </c>
      <c r="N39" s="2"/>
    </row>
    <row r="40" spans="1:16" x14ac:dyDescent="0.25">
      <c r="A40" s="16">
        <v>663</v>
      </c>
      <c r="B40" s="207" t="s">
        <v>45</v>
      </c>
      <c r="C40" s="207"/>
      <c r="D40" s="207"/>
      <c r="E40" s="207"/>
      <c r="F40" s="208"/>
      <c r="G40" s="149">
        <f t="shared" ref="G40:I40" si="16">G42</f>
        <v>0</v>
      </c>
      <c r="H40" s="150"/>
      <c r="I40" s="149">
        <f t="shared" si="16"/>
        <v>4000</v>
      </c>
      <c r="J40" s="150"/>
      <c r="K40" s="174">
        <f t="shared" ref="K40" si="17">K42</f>
        <v>4000</v>
      </c>
      <c r="L40" s="175"/>
      <c r="M40" s="140" t="e">
        <f>K40/#REF!*100</f>
        <v>#REF!</v>
      </c>
      <c r="N40" s="2"/>
    </row>
    <row r="41" spans="1:16" x14ac:dyDescent="0.25">
      <c r="A41" s="11"/>
      <c r="B41" s="207"/>
      <c r="C41" s="207"/>
      <c r="D41" s="207"/>
      <c r="E41" s="207"/>
      <c r="F41" s="208"/>
      <c r="G41" s="151"/>
      <c r="H41" s="152"/>
      <c r="I41" s="151"/>
      <c r="J41" s="152"/>
      <c r="K41" s="176"/>
      <c r="L41" s="177"/>
      <c r="M41" s="140"/>
      <c r="N41" s="2"/>
    </row>
    <row r="42" spans="1:16" x14ac:dyDescent="0.25">
      <c r="A42" s="14">
        <v>6631</v>
      </c>
      <c r="B42" s="7" t="s">
        <v>38</v>
      </c>
      <c r="C42" s="7"/>
      <c r="D42" s="7"/>
      <c r="E42" s="7"/>
      <c r="F42" s="15"/>
      <c r="G42" s="157"/>
      <c r="H42" s="158"/>
      <c r="I42" s="157">
        <f>K42-G42</f>
        <v>4000</v>
      </c>
      <c r="J42" s="158"/>
      <c r="K42" s="157">
        <v>4000</v>
      </c>
      <c r="L42" s="158"/>
      <c r="M42" s="64" t="e">
        <f>K40/G40*100</f>
        <v>#DIV/0!</v>
      </c>
      <c r="N42" s="2"/>
      <c r="P42" s="36"/>
    </row>
    <row r="43" spans="1:16" x14ac:dyDescent="0.25">
      <c r="A43" s="10">
        <v>67</v>
      </c>
      <c r="B43" s="205" t="s">
        <v>39</v>
      </c>
      <c r="C43" s="205"/>
      <c r="D43" s="205"/>
      <c r="E43" s="205"/>
      <c r="F43" s="206"/>
      <c r="G43" s="149">
        <f t="shared" ref="G43:I43" si="18">G45</f>
        <v>140983.98000000001</v>
      </c>
      <c r="H43" s="150"/>
      <c r="I43" s="149">
        <f t="shared" si="18"/>
        <v>49804.699999999983</v>
      </c>
      <c r="J43" s="150"/>
      <c r="K43" s="149">
        <f t="shared" ref="K43" si="19">K45</f>
        <v>190788.68</v>
      </c>
      <c r="L43" s="150"/>
      <c r="M43" s="187">
        <f>K43/G43*100</f>
        <v>135.32649596074674</v>
      </c>
      <c r="N43" s="2"/>
    </row>
    <row r="44" spans="1:16" x14ac:dyDescent="0.25">
      <c r="A44" s="11"/>
      <c r="B44" s="205"/>
      <c r="C44" s="205"/>
      <c r="D44" s="205"/>
      <c r="E44" s="205"/>
      <c r="F44" s="206"/>
      <c r="G44" s="151"/>
      <c r="H44" s="152"/>
      <c r="I44" s="151"/>
      <c r="J44" s="152"/>
      <c r="K44" s="151"/>
      <c r="L44" s="152"/>
      <c r="M44" s="187"/>
      <c r="N44" s="2"/>
      <c r="P44" s="36"/>
    </row>
    <row r="45" spans="1:16" ht="15" customHeight="1" x14ac:dyDescent="0.25">
      <c r="A45" s="16">
        <v>671</v>
      </c>
      <c r="B45" s="207" t="s">
        <v>40</v>
      </c>
      <c r="C45" s="207"/>
      <c r="D45" s="207"/>
      <c r="E45" s="207"/>
      <c r="F45" s="208"/>
      <c r="G45" s="174">
        <f t="shared" ref="G45:I45" si="20">G47+G49</f>
        <v>140983.98000000001</v>
      </c>
      <c r="H45" s="175"/>
      <c r="I45" s="174">
        <f t="shared" si="20"/>
        <v>49804.699999999983</v>
      </c>
      <c r="J45" s="175"/>
      <c r="K45" s="174">
        <f t="shared" ref="K45" si="21">K47+K49</f>
        <v>190788.68</v>
      </c>
      <c r="L45" s="175"/>
      <c r="M45" s="140">
        <f>K45/G45*100</f>
        <v>135.32649596074674</v>
      </c>
      <c r="N45" s="2"/>
    </row>
    <row r="46" spans="1:16" x14ac:dyDescent="0.25">
      <c r="A46" s="11"/>
      <c r="B46" s="207"/>
      <c r="C46" s="207"/>
      <c r="D46" s="207"/>
      <c r="E46" s="207"/>
      <c r="F46" s="208"/>
      <c r="G46" s="176"/>
      <c r="H46" s="177"/>
      <c r="I46" s="176"/>
      <c r="J46" s="177"/>
      <c r="K46" s="176"/>
      <c r="L46" s="177"/>
      <c r="M46" s="140"/>
      <c r="N46" s="2"/>
      <c r="P46" s="36"/>
    </row>
    <row r="47" spans="1:16" x14ac:dyDescent="0.25">
      <c r="A47" s="17">
        <v>6711</v>
      </c>
      <c r="B47" s="203" t="s">
        <v>41</v>
      </c>
      <c r="C47" s="203"/>
      <c r="D47" s="203"/>
      <c r="E47" s="203"/>
      <c r="F47" s="204"/>
      <c r="G47" s="145">
        <v>140983.98000000001</v>
      </c>
      <c r="H47" s="146"/>
      <c r="I47" s="145">
        <f>K47-G47</f>
        <v>49804.699999999983</v>
      </c>
      <c r="J47" s="146"/>
      <c r="K47" s="145">
        <v>190788.68</v>
      </c>
      <c r="L47" s="146"/>
      <c r="M47" s="140">
        <f>K47/G47*100</f>
        <v>135.32649596074674</v>
      </c>
      <c r="N47" s="2"/>
    </row>
    <row r="48" spans="1:16" x14ac:dyDescent="0.25">
      <c r="A48" s="18"/>
      <c r="B48" s="203"/>
      <c r="C48" s="203"/>
      <c r="D48" s="203"/>
      <c r="E48" s="203"/>
      <c r="F48" s="204"/>
      <c r="G48" s="147"/>
      <c r="H48" s="148"/>
      <c r="I48" s="147"/>
      <c r="J48" s="148"/>
      <c r="K48" s="147"/>
      <c r="L48" s="148"/>
      <c r="M48" s="140"/>
      <c r="N48" s="2"/>
      <c r="P48" s="36"/>
    </row>
    <row r="49" spans="1:14" x14ac:dyDescent="0.25">
      <c r="A49" s="17">
        <v>6712</v>
      </c>
      <c r="B49" s="203" t="s">
        <v>46</v>
      </c>
      <c r="C49" s="203"/>
      <c r="D49" s="203"/>
      <c r="E49" s="203"/>
      <c r="F49" s="204"/>
      <c r="G49" s="145"/>
      <c r="H49" s="146"/>
      <c r="I49" s="145">
        <f>K49-G49</f>
        <v>0</v>
      </c>
      <c r="J49" s="146"/>
      <c r="K49" s="145"/>
      <c r="L49" s="146"/>
      <c r="M49" s="140" t="e">
        <f>K49/G49*100</f>
        <v>#DIV/0!</v>
      </c>
      <c r="N49" s="2"/>
    </row>
    <row r="50" spans="1:14" x14ac:dyDescent="0.25">
      <c r="A50" s="18"/>
      <c r="B50" s="203"/>
      <c r="C50" s="203"/>
      <c r="D50" s="203"/>
      <c r="E50" s="203"/>
      <c r="F50" s="204"/>
      <c r="G50" s="147"/>
      <c r="H50" s="148"/>
      <c r="I50" s="147"/>
      <c r="J50" s="148"/>
      <c r="K50" s="147"/>
      <c r="L50" s="148"/>
      <c r="M50" s="140"/>
      <c r="N50" s="2"/>
    </row>
    <row r="51" spans="1:14" x14ac:dyDescent="0.25">
      <c r="A51" s="19">
        <v>9</v>
      </c>
      <c r="B51" s="6" t="s">
        <v>42</v>
      </c>
      <c r="C51" s="6"/>
      <c r="D51" s="6"/>
      <c r="E51" s="6"/>
      <c r="F51" s="20"/>
      <c r="G51" s="190">
        <f t="shared" ref="G51:I51" si="22">G52</f>
        <v>21871.43</v>
      </c>
      <c r="H51" s="191"/>
      <c r="I51" s="190">
        <f t="shared" si="22"/>
        <v>8793.27</v>
      </c>
      <c r="J51" s="191"/>
      <c r="K51" s="190">
        <f t="shared" ref="K51" si="23">K52</f>
        <v>30664.7</v>
      </c>
      <c r="L51" s="191"/>
      <c r="M51" s="56">
        <f>K51/G51*100</f>
        <v>140.20436706699104</v>
      </c>
      <c r="N51" s="2"/>
    </row>
    <row r="52" spans="1:14" x14ac:dyDescent="0.25">
      <c r="A52" s="21">
        <v>92</v>
      </c>
      <c r="B52" s="5" t="s">
        <v>47</v>
      </c>
      <c r="C52" s="5"/>
      <c r="D52" s="5"/>
      <c r="E52" s="5"/>
      <c r="F52" s="22"/>
      <c r="G52" s="192">
        <f>G53</f>
        <v>21871.43</v>
      </c>
      <c r="H52" s="193"/>
      <c r="I52" s="192">
        <f>I53</f>
        <v>8793.27</v>
      </c>
      <c r="J52" s="193"/>
      <c r="K52" s="192">
        <f>K53</f>
        <v>30664.7</v>
      </c>
      <c r="L52" s="193"/>
      <c r="M52" s="66">
        <f>K52/G52*100</f>
        <v>140.20436706699104</v>
      </c>
      <c r="N52" s="2"/>
    </row>
    <row r="53" spans="1:14" x14ac:dyDescent="0.25">
      <c r="A53" s="12">
        <v>922</v>
      </c>
      <c r="B53" s="4" t="s">
        <v>49</v>
      </c>
      <c r="C53" s="4"/>
      <c r="D53" s="4"/>
      <c r="E53" s="4"/>
      <c r="F53" s="13"/>
      <c r="G53" s="153">
        <f>G54</f>
        <v>21871.43</v>
      </c>
      <c r="H53" s="154"/>
      <c r="I53" s="153">
        <f>I54</f>
        <v>8793.27</v>
      </c>
      <c r="J53" s="154"/>
      <c r="K53" s="153">
        <f>K54</f>
        <v>30664.7</v>
      </c>
      <c r="L53" s="154"/>
      <c r="M53" s="64">
        <f>K53/G53*100</f>
        <v>140.20436706699104</v>
      </c>
      <c r="N53" s="2"/>
    </row>
    <row r="54" spans="1:14" ht="15.75" thickBot="1" x14ac:dyDescent="0.3">
      <c r="A54" s="17">
        <v>9221</v>
      </c>
      <c r="B54" s="8" t="s">
        <v>48</v>
      </c>
      <c r="C54" s="23"/>
      <c r="D54" s="23"/>
      <c r="E54" s="23"/>
      <c r="F54" s="24"/>
      <c r="G54" s="145">
        <v>21871.43</v>
      </c>
      <c r="H54" s="146"/>
      <c r="I54" s="145">
        <f>K54-G54</f>
        <v>8793.27</v>
      </c>
      <c r="J54" s="146"/>
      <c r="K54" s="188">
        <v>30664.7</v>
      </c>
      <c r="L54" s="189"/>
      <c r="M54" s="68">
        <f>K54/G54*100</f>
        <v>140.20436706699104</v>
      </c>
      <c r="N54" s="2"/>
    </row>
    <row r="55" spans="1:14" ht="15.75" thickBot="1" x14ac:dyDescent="0.3">
      <c r="A55" s="186" t="s">
        <v>52</v>
      </c>
      <c r="B55" s="186"/>
      <c r="C55" s="186"/>
      <c r="D55" s="186"/>
      <c r="E55" s="186"/>
      <c r="F55" s="186"/>
      <c r="G55" s="171">
        <f>G51+G11</f>
        <v>1552330.53</v>
      </c>
      <c r="H55" s="171"/>
      <c r="I55" s="171">
        <f>I51+I11</f>
        <v>214584.24999999974</v>
      </c>
      <c r="J55" s="171"/>
      <c r="K55" s="171">
        <f>K51+K11</f>
        <v>1766914.7799999998</v>
      </c>
      <c r="L55" s="171"/>
      <c r="M55" s="69">
        <f>K55/G55*100</f>
        <v>113.82336080190343</v>
      </c>
    </row>
    <row r="56" spans="1:14" ht="15.75" thickBot="1" x14ac:dyDescent="0.3">
      <c r="G56" s="36"/>
      <c r="H56" s="36"/>
      <c r="I56" s="36"/>
      <c r="J56" s="36"/>
      <c r="K56" s="36"/>
      <c r="L56" s="36"/>
      <c r="M56" s="52"/>
    </row>
    <row r="57" spans="1:14" x14ac:dyDescent="0.25">
      <c r="A57" s="9">
        <v>3</v>
      </c>
      <c r="B57" s="180" t="s">
        <v>53</v>
      </c>
      <c r="C57" s="180"/>
      <c r="D57" s="180"/>
      <c r="E57" s="180"/>
      <c r="F57" s="181"/>
      <c r="G57" s="182">
        <f>G58+G65+G97+G100+G105</f>
        <v>1549543.3399999999</v>
      </c>
      <c r="H57" s="183"/>
      <c r="I57" s="182">
        <f>I58+I65+I97+I100+I105</f>
        <v>212571.43999999989</v>
      </c>
      <c r="J57" s="183"/>
      <c r="K57" s="182">
        <f>K58+K65+K97+K100+K105</f>
        <v>1762114.7799999998</v>
      </c>
      <c r="L57" s="183"/>
      <c r="M57" s="63">
        <f>K57/G57*100</f>
        <v>113.71832813659796</v>
      </c>
      <c r="N57" s="2"/>
    </row>
    <row r="58" spans="1:14" ht="15" customHeight="1" x14ac:dyDescent="0.25">
      <c r="A58" s="21">
        <v>31</v>
      </c>
      <c r="B58" s="5" t="s">
        <v>55</v>
      </c>
      <c r="C58" s="5"/>
      <c r="D58" s="5"/>
      <c r="E58" s="5"/>
      <c r="F58" s="22"/>
      <c r="G58" s="138">
        <f t="shared" ref="G58:K58" si="24">G59+G61+G63</f>
        <v>1367044.94</v>
      </c>
      <c r="H58" s="139"/>
      <c r="I58" s="138">
        <f t="shared" si="24"/>
        <v>144162.7399999999</v>
      </c>
      <c r="J58" s="139"/>
      <c r="K58" s="138">
        <f t="shared" si="24"/>
        <v>1511207.68</v>
      </c>
      <c r="L58" s="139"/>
      <c r="M58" s="53">
        <f>K58/G58*100</f>
        <v>110.54557431008816</v>
      </c>
      <c r="N58" s="2"/>
    </row>
    <row r="59" spans="1:14" x14ac:dyDescent="0.25">
      <c r="A59" s="12">
        <v>311</v>
      </c>
      <c r="B59" s="4" t="s">
        <v>56</v>
      </c>
      <c r="C59" s="4"/>
      <c r="D59" s="4"/>
      <c r="E59" s="4"/>
      <c r="F59" s="13"/>
      <c r="G59" s="126">
        <f t="shared" ref="G59:K59" si="25">G60</f>
        <v>1088327.03</v>
      </c>
      <c r="H59" s="127"/>
      <c r="I59" s="126">
        <f t="shared" si="25"/>
        <v>167880.64999999991</v>
      </c>
      <c r="J59" s="127"/>
      <c r="K59" s="126">
        <f t="shared" si="25"/>
        <v>1256207.68</v>
      </c>
      <c r="L59" s="127"/>
      <c r="M59" s="54">
        <f>K59/G59*100</f>
        <v>115.4255701983254</v>
      </c>
      <c r="N59" s="2"/>
    </row>
    <row r="60" spans="1:14" x14ac:dyDescent="0.25">
      <c r="A60" s="14">
        <v>3111</v>
      </c>
      <c r="B60" s="7" t="s">
        <v>162</v>
      </c>
      <c r="C60" s="7"/>
      <c r="D60" s="4"/>
      <c r="E60" s="4"/>
      <c r="F60" s="13"/>
      <c r="G60" s="159">
        <f>1088327.03</f>
        <v>1088327.03</v>
      </c>
      <c r="H60" s="160"/>
      <c r="I60" s="159">
        <f>K60-G60</f>
        <v>167880.64999999991</v>
      </c>
      <c r="J60" s="160"/>
      <c r="K60" s="159">
        <f>1240000+5060.29+11147.39</f>
        <v>1256207.68</v>
      </c>
      <c r="L60" s="160"/>
      <c r="M60" s="54">
        <f t="shared" ref="M60:M64" si="26">K60/G60*100</f>
        <v>115.4255701983254</v>
      </c>
      <c r="N60" s="2"/>
    </row>
    <row r="61" spans="1:14" x14ac:dyDescent="0.25">
      <c r="A61" s="12">
        <v>312</v>
      </c>
      <c r="B61" s="4" t="s">
        <v>58</v>
      </c>
      <c r="C61" s="4"/>
      <c r="D61" s="4"/>
      <c r="E61" s="4"/>
      <c r="F61" s="13"/>
      <c r="G61" s="126">
        <f t="shared" ref="G61:K61" si="27">G62</f>
        <v>59725.27</v>
      </c>
      <c r="H61" s="127"/>
      <c r="I61" s="126">
        <f t="shared" si="27"/>
        <v>-9725.2699999999968</v>
      </c>
      <c r="J61" s="127"/>
      <c r="K61" s="126">
        <f t="shared" si="27"/>
        <v>50000</v>
      </c>
      <c r="L61" s="127"/>
      <c r="M61" s="54">
        <f t="shared" si="26"/>
        <v>83.716657957343685</v>
      </c>
      <c r="N61" s="2"/>
    </row>
    <row r="62" spans="1:14" x14ac:dyDescent="0.25">
      <c r="A62" s="14">
        <v>3121</v>
      </c>
      <c r="B62" s="7" t="s">
        <v>58</v>
      </c>
      <c r="C62" s="7"/>
      <c r="D62" s="7"/>
      <c r="E62" s="4"/>
      <c r="F62" s="13"/>
      <c r="G62" s="159">
        <f>59725.27</f>
        <v>59725.27</v>
      </c>
      <c r="H62" s="160"/>
      <c r="I62" s="159">
        <f>K62-G62</f>
        <v>-9725.2699999999968</v>
      </c>
      <c r="J62" s="160"/>
      <c r="K62" s="159">
        <f>50000</f>
        <v>50000</v>
      </c>
      <c r="L62" s="160"/>
      <c r="M62" s="54">
        <f t="shared" si="26"/>
        <v>83.716657957343685</v>
      </c>
      <c r="N62" s="2"/>
    </row>
    <row r="63" spans="1:14" x14ac:dyDescent="0.25">
      <c r="A63" s="12">
        <v>313</v>
      </c>
      <c r="B63" s="4" t="s">
        <v>59</v>
      </c>
      <c r="C63" s="4"/>
      <c r="D63" s="4"/>
      <c r="E63" s="4"/>
      <c r="F63" s="13"/>
      <c r="G63" s="126">
        <f t="shared" ref="G63:K63" si="28">G64</f>
        <v>218992.64000000001</v>
      </c>
      <c r="H63" s="127"/>
      <c r="I63" s="126">
        <f t="shared" si="28"/>
        <v>-13992.640000000014</v>
      </c>
      <c r="J63" s="127"/>
      <c r="K63" s="126">
        <f t="shared" si="28"/>
        <v>205000</v>
      </c>
      <c r="L63" s="127"/>
      <c r="M63" s="54">
        <f t="shared" si="26"/>
        <v>93.610451931169919</v>
      </c>
      <c r="N63" s="2"/>
    </row>
    <row r="64" spans="1:14" x14ac:dyDescent="0.25">
      <c r="A64" s="14">
        <v>3132</v>
      </c>
      <c r="B64" s="7" t="s">
        <v>60</v>
      </c>
      <c r="C64" s="7"/>
      <c r="D64" s="7"/>
      <c r="E64" s="7"/>
      <c r="F64" s="15"/>
      <c r="G64" s="159">
        <f>218992.64</f>
        <v>218992.64000000001</v>
      </c>
      <c r="H64" s="160"/>
      <c r="I64" s="159">
        <f>K64-G64</f>
        <v>-13992.640000000014</v>
      </c>
      <c r="J64" s="160"/>
      <c r="K64" s="159">
        <v>205000</v>
      </c>
      <c r="L64" s="160"/>
      <c r="M64" s="54">
        <f t="shared" si="26"/>
        <v>93.610451931169919</v>
      </c>
      <c r="N64" s="2"/>
    </row>
    <row r="65" spans="1:14" x14ac:dyDescent="0.25">
      <c r="A65" s="21">
        <v>32</v>
      </c>
      <c r="B65" s="5" t="s">
        <v>61</v>
      </c>
      <c r="C65" s="5"/>
      <c r="D65" s="5"/>
      <c r="E65" s="5"/>
      <c r="F65" s="22"/>
      <c r="G65" s="138">
        <f t="shared" ref="G65" si="29">G66+G71+G78+G88</f>
        <v>182498.4</v>
      </c>
      <c r="H65" s="139"/>
      <c r="I65" s="138">
        <f t="shared" ref="I65" si="30">I66+I71+I78+I88</f>
        <v>68408.7</v>
      </c>
      <c r="J65" s="139"/>
      <c r="K65" s="138">
        <f t="shared" ref="K65" si="31">K66+K71+K78+K88</f>
        <v>250907.09999999998</v>
      </c>
      <c r="L65" s="139"/>
      <c r="M65" s="53">
        <f>K65/G65*100</f>
        <v>137.48454780973421</v>
      </c>
      <c r="N65" s="2"/>
    </row>
    <row r="66" spans="1:14" x14ac:dyDescent="0.25">
      <c r="A66" s="12">
        <v>321</v>
      </c>
      <c r="B66" s="4" t="s">
        <v>62</v>
      </c>
      <c r="C66" s="4"/>
      <c r="D66" s="4"/>
      <c r="E66" s="4"/>
      <c r="F66" s="13"/>
      <c r="G66" s="126">
        <f t="shared" ref="G66:K66" si="32">G67+G68+G69+G70</f>
        <v>55383.94</v>
      </c>
      <c r="H66" s="127"/>
      <c r="I66" s="126">
        <f>I67+I68+I69+I70</f>
        <v>9595.67</v>
      </c>
      <c r="J66" s="127"/>
      <c r="K66" s="126">
        <f t="shared" si="32"/>
        <v>64979.61</v>
      </c>
      <c r="L66" s="127"/>
      <c r="M66" s="54">
        <f>K66/G66*100</f>
        <v>117.32572655538772</v>
      </c>
      <c r="N66" s="2"/>
    </row>
    <row r="67" spans="1:14" x14ac:dyDescent="0.25">
      <c r="A67" s="14">
        <v>3211</v>
      </c>
      <c r="B67" s="7" t="s">
        <v>63</v>
      </c>
      <c r="C67" s="7"/>
      <c r="D67" s="7"/>
      <c r="E67" s="7"/>
      <c r="F67" s="15"/>
      <c r="G67" s="159">
        <f>6636.14+9130.02</f>
        <v>15766.16</v>
      </c>
      <c r="H67" s="160"/>
      <c r="I67" s="159">
        <f>K67-G67</f>
        <v>7113.4500000000007</v>
      </c>
      <c r="J67" s="160"/>
      <c r="K67" s="159">
        <f>12000+300+849.82+9729.79</f>
        <v>22879.61</v>
      </c>
      <c r="L67" s="160"/>
      <c r="M67" s="54">
        <f t="shared" ref="M67:M88" si="33">K67/G67*100</f>
        <v>145.11846892331423</v>
      </c>
      <c r="N67" s="2"/>
    </row>
    <row r="68" spans="1:14" x14ac:dyDescent="0.25">
      <c r="A68" s="14">
        <v>3212</v>
      </c>
      <c r="B68" s="7" t="s">
        <v>64</v>
      </c>
      <c r="C68" s="7"/>
      <c r="D68" s="7"/>
      <c r="E68" s="7"/>
      <c r="F68" s="15"/>
      <c r="G68" s="159">
        <f>32517.09</f>
        <v>32517.09</v>
      </c>
      <c r="H68" s="160"/>
      <c r="I68" s="159">
        <f>K68-G68</f>
        <v>1782.9099999999999</v>
      </c>
      <c r="J68" s="160"/>
      <c r="K68" s="159">
        <f>34300</f>
        <v>34300</v>
      </c>
      <c r="L68" s="160"/>
      <c r="M68" s="54">
        <f t="shared" si="33"/>
        <v>105.48299371192194</v>
      </c>
      <c r="N68" s="2"/>
    </row>
    <row r="69" spans="1:14" x14ac:dyDescent="0.25">
      <c r="A69" s="14">
        <v>3213</v>
      </c>
      <c r="B69" s="7" t="s">
        <v>65</v>
      </c>
      <c r="C69" s="7"/>
      <c r="D69" s="7"/>
      <c r="E69" s="7"/>
      <c r="F69" s="15"/>
      <c r="G69" s="159">
        <f>1260.87+5308.92</f>
        <v>6569.79</v>
      </c>
      <c r="H69" s="160"/>
      <c r="I69" s="159">
        <f t="shared" ref="I69:I70" si="34">K69-G69</f>
        <v>-269.78999999999996</v>
      </c>
      <c r="J69" s="160"/>
      <c r="K69" s="159">
        <f>1300+5000</f>
        <v>6300</v>
      </c>
      <c r="L69" s="160"/>
      <c r="M69" s="54">
        <f t="shared" si="33"/>
        <v>95.89347604717959</v>
      </c>
      <c r="N69" s="2"/>
    </row>
    <row r="70" spans="1:14" x14ac:dyDescent="0.25">
      <c r="A70" s="14">
        <v>3214</v>
      </c>
      <c r="B70" s="7" t="s">
        <v>100</v>
      </c>
      <c r="C70" s="7"/>
      <c r="D70" s="7"/>
      <c r="E70" s="7"/>
      <c r="F70" s="15"/>
      <c r="G70" s="159">
        <f>530.9</f>
        <v>530.9</v>
      </c>
      <c r="H70" s="160"/>
      <c r="I70" s="159">
        <f t="shared" si="34"/>
        <v>969.1</v>
      </c>
      <c r="J70" s="160"/>
      <c r="K70" s="159">
        <f>1500</f>
        <v>1500</v>
      </c>
      <c r="L70" s="160"/>
      <c r="M70" s="54">
        <f t="shared" si="33"/>
        <v>282.53908457336598</v>
      </c>
      <c r="N70" s="2"/>
    </row>
    <row r="71" spans="1:14" x14ac:dyDescent="0.25">
      <c r="A71" s="12">
        <v>322</v>
      </c>
      <c r="B71" s="4" t="s">
        <v>66</v>
      </c>
      <c r="C71" s="4"/>
      <c r="D71" s="4"/>
      <c r="E71" s="4"/>
      <c r="F71" s="13"/>
      <c r="G71" s="126">
        <f t="shared" ref="G71" si="35">G72+G73+G74+G75+G76+G77</f>
        <v>71006.75</v>
      </c>
      <c r="H71" s="127"/>
      <c r="I71" s="126">
        <f t="shared" ref="I71" si="36">I72+I73+I74+I75+I76+I77</f>
        <v>32923.51</v>
      </c>
      <c r="J71" s="127"/>
      <c r="K71" s="126">
        <f t="shared" ref="K71" si="37">K72+K73+K74+K75+K76+K77</f>
        <v>103930.26</v>
      </c>
      <c r="L71" s="127"/>
      <c r="M71" s="54">
        <f t="shared" si="33"/>
        <v>146.36673274019722</v>
      </c>
      <c r="N71" s="2"/>
    </row>
    <row r="72" spans="1:14" x14ac:dyDescent="0.25">
      <c r="A72" s="14">
        <v>3221</v>
      </c>
      <c r="B72" s="7" t="s">
        <v>67</v>
      </c>
      <c r="C72" s="7"/>
      <c r="D72" s="7"/>
      <c r="E72" s="7"/>
      <c r="F72" s="15"/>
      <c r="G72" s="159">
        <f>10617.83+1061.79</f>
        <v>11679.619999999999</v>
      </c>
      <c r="H72" s="160"/>
      <c r="I72" s="159">
        <f>K72-G72</f>
        <v>2920.380000000001</v>
      </c>
      <c r="J72" s="160"/>
      <c r="K72" s="159">
        <f>14000+600</f>
        <v>14600</v>
      </c>
      <c r="L72" s="160"/>
      <c r="M72" s="54">
        <f t="shared" si="33"/>
        <v>125.00406691313589</v>
      </c>
      <c r="N72" s="2"/>
    </row>
    <row r="73" spans="1:14" x14ac:dyDescent="0.25">
      <c r="A73" s="14">
        <v>3222</v>
      </c>
      <c r="B73" s="7" t="s">
        <v>101</v>
      </c>
      <c r="C73" s="7"/>
      <c r="D73" s="7"/>
      <c r="E73" s="7"/>
      <c r="F73" s="15"/>
      <c r="G73" s="159">
        <f>19908.43+796.34</f>
        <v>20704.77</v>
      </c>
      <c r="H73" s="160"/>
      <c r="I73" s="159">
        <f t="shared" ref="I73:I77" si="38">K73-G73</f>
        <v>795.22999999999956</v>
      </c>
      <c r="J73" s="160"/>
      <c r="K73" s="159">
        <f>20000+1500</f>
        <v>21500</v>
      </c>
      <c r="L73" s="160"/>
      <c r="M73" s="54">
        <f t="shared" si="33"/>
        <v>103.84080576601431</v>
      </c>
      <c r="N73" s="2"/>
    </row>
    <row r="74" spans="1:14" x14ac:dyDescent="0.25">
      <c r="A74" s="14">
        <v>3223</v>
      </c>
      <c r="B74" s="7" t="s">
        <v>68</v>
      </c>
      <c r="C74" s="7"/>
      <c r="D74" s="7"/>
      <c r="E74" s="7"/>
      <c r="F74" s="15"/>
      <c r="G74" s="159">
        <f>33180.71</f>
        <v>33180.71</v>
      </c>
      <c r="H74" s="160"/>
      <c r="I74" s="159">
        <f t="shared" si="38"/>
        <v>26819.29</v>
      </c>
      <c r="J74" s="160"/>
      <c r="K74" s="159">
        <f>60000</f>
        <v>60000</v>
      </c>
      <c r="L74" s="160"/>
      <c r="M74" s="54">
        <f t="shared" si="33"/>
        <v>180.82795696656279</v>
      </c>
      <c r="N74" s="2"/>
    </row>
    <row r="75" spans="1:14" x14ac:dyDescent="0.25">
      <c r="A75" s="14">
        <v>3224</v>
      </c>
      <c r="B75" s="7" t="s">
        <v>69</v>
      </c>
      <c r="C75" s="7"/>
      <c r="D75" s="7"/>
      <c r="E75" s="7"/>
      <c r="F75" s="15"/>
      <c r="G75" s="159">
        <f>4645.3</f>
        <v>4645.3</v>
      </c>
      <c r="H75" s="160"/>
      <c r="I75" s="159">
        <f t="shared" si="38"/>
        <v>2354.6999999999998</v>
      </c>
      <c r="J75" s="160"/>
      <c r="K75" s="159">
        <f>6000+1000</f>
        <v>7000</v>
      </c>
      <c r="L75" s="160"/>
      <c r="M75" s="54">
        <f t="shared" si="33"/>
        <v>150.68994467526315</v>
      </c>
      <c r="N75" s="2"/>
    </row>
    <row r="76" spans="1:14" x14ac:dyDescent="0.25">
      <c r="A76" s="14">
        <v>3225</v>
      </c>
      <c r="B76" s="7" t="s">
        <v>70</v>
      </c>
      <c r="C76" s="7"/>
      <c r="D76" s="7"/>
      <c r="E76" s="7"/>
      <c r="F76" s="15"/>
      <c r="G76" s="159">
        <f>265.45</f>
        <v>265.45</v>
      </c>
      <c r="H76" s="160"/>
      <c r="I76" s="159">
        <f t="shared" si="38"/>
        <v>34.550000000000011</v>
      </c>
      <c r="J76" s="160"/>
      <c r="K76" s="159">
        <f>300</f>
        <v>300</v>
      </c>
      <c r="L76" s="160"/>
      <c r="M76" s="54">
        <f t="shared" si="33"/>
        <v>113.01563382934641</v>
      </c>
      <c r="N76" s="2"/>
    </row>
    <row r="77" spans="1:14" x14ac:dyDescent="0.25">
      <c r="A77" s="14">
        <v>3227</v>
      </c>
      <c r="B77" s="7" t="s">
        <v>71</v>
      </c>
      <c r="C77" s="7"/>
      <c r="D77" s="7"/>
      <c r="E77" s="7"/>
      <c r="F77" s="15"/>
      <c r="G77" s="159">
        <f>530.9</f>
        <v>530.9</v>
      </c>
      <c r="H77" s="160"/>
      <c r="I77" s="159">
        <f t="shared" si="38"/>
        <v>-0.63999999999998636</v>
      </c>
      <c r="J77" s="160"/>
      <c r="K77" s="159">
        <f>530.26</f>
        <v>530.26</v>
      </c>
      <c r="L77" s="160"/>
      <c r="M77" s="54">
        <f t="shared" si="33"/>
        <v>99.879449990582032</v>
      </c>
      <c r="N77" s="2"/>
    </row>
    <row r="78" spans="1:14" x14ac:dyDescent="0.25">
      <c r="A78" s="12">
        <v>323</v>
      </c>
      <c r="B78" s="4" t="s">
        <v>72</v>
      </c>
      <c r="C78" s="4"/>
      <c r="D78" s="4"/>
      <c r="E78" s="4"/>
      <c r="F78" s="13"/>
      <c r="G78" s="126">
        <f t="shared" ref="G78" si="39">G79+G80+G81+G82+G83+G84+G85+G86+G87</f>
        <v>45842.5</v>
      </c>
      <c r="H78" s="127"/>
      <c r="I78" s="126">
        <f t="shared" ref="I78" si="40">I79+I80+I81+I82+I83+I84+I85+I86+I87</f>
        <v>16562.399999999998</v>
      </c>
      <c r="J78" s="127"/>
      <c r="K78" s="126">
        <f t="shared" ref="K78" si="41">K79+K80+K81+K82+K83+K84+K85+K86+K87</f>
        <v>62404.9</v>
      </c>
      <c r="L78" s="127"/>
      <c r="M78" s="54">
        <f t="shared" si="33"/>
        <v>136.12891967061134</v>
      </c>
      <c r="N78" s="2"/>
    </row>
    <row r="79" spans="1:14" x14ac:dyDescent="0.25">
      <c r="A79" s="14">
        <v>3231</v>
      </c>
      <c r="B79" s="7" t="s">
        <v>73</v>
      </c>
      <c r="C79" s="7"/>
      <c r="D79" s="7"/>
      <c r="E79" s="7"/>
      <c r="F79" s="15"/>
      <c r="G79" s="159">
        <f>3716.24+1858.12+15926.74</f>
        <v>21501.1</v>
      </c>
      <c r="H79" s="160"/>
      <c r="I79" s="159">
        <f>K79-G79</f>
        <v>10998.900000000001</v>
      </c>
      <c r="J79" s="160"/>
      <c r="K79" s="159">
        <f>5500+2000+25000</f>
        <v>32500</v>
      </c>
      <c r="L79" s="160"/>
      <c r="M79" s="54">
        <f t="shared" si="33"/>
        <v>151.15505718312087</v>
      </c>
      <c r="N79" s="2"/>
    </row>
    <row r="80" spans="1:14" x14ac:dyDescent="0.25">
      <c r="A80" s="14">
        <v>3232</v>
      </c>
      <c r="B80" s="7" t="s">
        <v>74</v>
      </c>
      <c r="C80" s="7"/>
      <c r="D80" s="7"/>
      <c r="E80" s="7"/>
      <c r="F80" s="15"/>
      <c r="G80" s="159">
        <f>3981.69</f>
        <v>3981.69</v>
      </c>
      <c r="H80" s="160"/>
      <c r="I80" s="159">
        <f t="shared" ref="I80:I87" si="42">K80-G80</f>
        <v>1418.31</v>
      </c>
      <c r="J80" s="160"/>
      <c r="K80" s="159">
        <f>5400</f>
        <v>5400</v>
      </c>
      <c r="L80" s="160"/>
      <c r="M80" s="54">
        <f t="shared" si="33"/>
        <v>135.62080423136908</v>
      </c>
      <c r="N80" s="2"/>
    </row>
    <row r="81" spans="1:14" x14ac:dyDescent="0.25">
      <c r="A81" s="14">
        <v>3233</v>
      </c>
      <c r="B81" s="7" t="s">
        <v>103</v>
      </c>
      <c r="C81" s="7"/>
      <c r="D81" s="7"/>
      <c r="E81" s="7"/>
      <c r="F81" s="15"/>
      <c r="G81" s="159">
        <f>132.73</f>
        <v>132.72999999999999</v>
      </c>
      <c r="H81" s="160"/>
      <c r="I81" s="159">
        <f t="shared" si="42"/>
        <v>-5.289999999999992</v>
      </c>
      <c r="J81" s="160"/>
      <c r="K81" s="159">
        <f>127.44</f>
        <v>127.44</v>
      </c>
      <c r="L81" s="160"/>
      <c r="M81" s="54">
        <f t="shared" si="33"/>
        <v>96.014465456189257</v>
      </c>
      <c r="N81" s="2"/>
    </row>
    <row r="82" spans="1:14" x14ac:dyDescent="0.25">
      <c r="A82" s="14">
        <v>3234</v>
      </c>
      <c r="B82" s="7" t="s">
        <v>102</v>
      </c>
      <c r="C82" s="7"/>
      <c r="D82" s="7"/>
      <c r="E82" s="7"/>
      <c r="F82" s="15"/>
      <c r="G82" s="159">
        <f>7299.76</f>
        <v>7299.76</v>
      </c>
      <c r="H82" s="160"/>
      <c r="I82" s="159">
        <f t="shared" si="42"/>
        <v>200.23999999999978</v>
      </c>
      <c r="J82" s="160"/>
      <c r="K82" s="159">
        <f>7500</f>
        <v>7500</v>
      </c>
      <c r="L82" s="160"/>
      <c r="M82" s="54">
        <f t="shared" si="33"/>
        <v>102.74310388286739</v>
      </c>
      <c r="N82" s="2"/>
    </row>
    <row r="83" spans="1:14" x14ac:dyDescent="0.25">
      <c r="A83" s="14">
        <v>3235</v>
      </c>
      <c r="B83" s="7" t="s">
        <v>75</v>
      </c>
      <c r="C83" s="7"/>
      <c r="D83" s="7"/>
      <c r="E83" s="7"/>
      <c r="F83" s="15"/>
      <c r="G83" s="159">
        <f>1061.79</f>
        <v>1061.79</v>
      </c>
      <c r="H83" s="160"/>
      <c r="I83" s="159">
        <f t="shared" si="42"/>
        <v>738.21</v>
      </c>
      <c r="J83" s="160"/>
      <c r="K83" s="159">
        <f>1800</f>
        <v>1800</v>
      </c>
      <c r="L83" s="160"/>
      <c r="M83" s="54">
        <f t="shared" si="33"/>
        <v>169.52504732574238</v>
      </c>
      <c r="N83" s="2"/>
    </row>
    <row r="84" spans="1:14" x14ac:dyDescent="0.25">
      <c r="A84" s="14">
        <v>3236</v>
      </c>
      <c r="B84" s="7" t="s">
        <v>76</v>
      </c>
      <c r="C84" s="7"/>
      <c r="D84" s="7"/>
      <c r="E84" s="7"/>
      <c r="F84" s="15"/>
      <c r="G84" s="159">
        <f>4300.22</f>
        <v>4300.22</v>
      </c>
      <c r="H84" s="160"/>
      <c r="I84" s="159">
        <f t="shared" si="42"/>
        <v>-0.22000000000025466</v>
      </c>
      <c r="J84" s="160"/>
      <c r="K84" s="159">
        <f>4300</f>
        <v>4300</v>
      </c>
      <c r="L84" s="160"/>
      <c r="M84" s="54">
        <f t="shared" si="33"/>
        <v>99.994883982679951</v>
      </c>
      <c r="N84" s="2"/>
    </row>
    <row r="85" spans="1:14" x14ac:dyDescent="0.25">
      <c r="A85" s="14">
        <v>3237</v>
      </c>
      <c r="B85" s="7" t="s">
        <v>77</v>
      </c>
      <c r="C85" s="7"/>
      <c r="D85" s="7"/>
      <c r="E85" s="7"/>
      <c r="F85" s="15"/>
      <c r="G85" s="159">
        <f>2654.46+929.06</f>
        <v>3583.52</v>
      </c>
      <c r="H85" s="160"/>
      <c r="I85" s="159">
        <f t="shared" si="42"/>
        <v>193.94000000000005</v>
      </c>
      <c r="J85" s="160"/>
      <c r="K85" s="159">
        <f>2700+1077.46</f>
        <v>3777.46</v>
      </c>
      <c r="L85" s="160"/>
      <c r="M85" s="54">
        <f t="shared" si="33"/>
        <v>105.41199714247445</v>
      </c>
      <c r="N85" s="2"/>
    </row>
    <row r="86" spans="1:14" x14ac:dyDescent="0.25">
      <c r="A86" s="14">
        <v>3238</v>
      </c>
      <c r="B86" s="7" t="s">
        <v>78</v>
      </c>
      <c r="C86" s="7"/>
      <c r="D86" s="7"/>
      <c r="E86" s="7"/>
      <c r="F86" s="15"/>
      <c r="G86" s="159">
        <f>2654.46</f>
        <v>2654.46</v>
      </c>
      <c r="H86" s="160"/>
      <c r="I86" s="159">
        <f t="shared" si="42"/>
        <v>2345.54</v>
      </c>
      <c r="J86" s="160"/>
      <c r="K86" s="159">
        <f>5000</f>
        <v>5000</v>
      </c>
      <c r="L86" s="160"/>
      <c r="M86" s="54">
        <f t="shared" si="33"/>
        <v>188.36222809912374</v>
      </c>
      <c r="N86" s="2"/>
    </row>
    <row r="87" spans="1:14" x14ac:dyDescent="0.25">
      <c r="A87" s="14">
        <v>3239</v>
      </c>
      <c r="B87" s="7" t="s">
        <v>79</v>
      </c>
      <c r="C87" s="7"/>
      <c r="D87" s="7"/>
      <c r="E87" s="7"/>
      <c r="F87" s="15"/>
      <c r="G87" s="159">
        <f>1327.23</f>
        <v>1327.23</v>
      </c>
      <c r="H87" s="160"/>
      <c r="I87" s="159">
        <f t="shared" si="42"/>
        <v>672.77</v>
      </c>
      <c r="J87" s="160"/>
      <c r="K87" s="159">
        <f>2000</f>
        <v>2000</v>
      </c>
      <c r="L87" s="160"/>
      <c r="M87" s="54">
        <f t="shared" si="33"/>
        <v>150.68978247929897</v>
      </c>
      <c r="N87" s="2"/>
    </row>
    <row r="88" spans="1:14" x14ac:dyDescent="0.25">
      <c r="A88" s="12">
        <v>329</v>
      </c>
      <c r="B88" s="4" t="s">
        <v>80</v>
      </c>
      <c r="C88" s="4"/>
      <c r="D88" s="4"/>
      <c r="E88" s="4"/>
      <c r="F88" s="13"/>
      <c r="G88" s="126">
        <f>G89+G91+G92+G93+G94+G95+G96</f>
        <v>10265.209999999999</v>
      </c>
      <c r="H88" s="127"/>
      <c r="I88" s="126">
        <f>I89+I91+I92+I93+I94+I95+I96</f>
        <v>9327.119999999999</v>
      </c>
      <c r="J88" s="127"/>
      <c r="K88" s="126">
        <f t="shared" ref="K88" si="43">K89+K91+K92+K93+K94+K95+K96</f>
        <v>19592.330000000002</v>
      </c>
      <c r="L88" s="127"/>
      <c r="M88" s="54">
        <f t="shared" si="33"/>
        <v>190.86146313616578</v>
      </c>
      <c r="N88" s="2"/>
    </row>
    <row r="89" spans="1:14" x14ac:dyDescent="0.25">
      <c r="A89" s="17">
        <v>3291</v>
      </c>
      <c r="B89" s="178" t="s">
        <v>81</v>
      </c>
      <c r="C89" s="178"/>
      <c r="D89" s="178"/>
      <c r="E89" s="178"/>
      <c r="F89" s="179"/>
      <c r="G89" s="128">
        <f>132.73</f>
        <v>132.72999999999999</v>
      </c>
      <c r="H89" s="161"/>
      <c r="I89" s="128">
        <f>K89-G89</f>
        <v>17.27000000000001</v>
      </c>
      <c r="J89" s="161"/>
      <c r="K89" s="128">
        <v>150</v>
      </c>
      <c r="L89" s="161"/>
      <c r="M89" s="164">
        <f>K89/G89*100</f>
        <v>113.01137647856552</v>
      </c>
      <c r="N89" s="2"/>
    </row>
    <row r="90" spans="1:14" x14ac:dyDescent="0.25">
      <c r="A90" s="31"/>
      <c r="B90" s="178"/>
      <c r="C90" s="178"/>
      <c r="D90" s="178"/>
      <c r="E90" s="178"/>
      <c r="F90" s="179"/>
      <c r="G90" s="162"/>
      <c r="H90" s="163"/>
      <c r="I90" s="162"/>
      <c r="J90" s="163"/>
      <c r="K90" s="162"/>
      <c r="L90" s="163"/>
      <c r="M90" s="165"/>
      <c r="N90" s="2"/>
    </row>
    <row r="91" spans="1:14" x14ac:dyDescent="0.25">
      <c r="A91" s="14">
        <v>3292</v>
      </c>
      <c r="B91" s="7" t="s">
        <v>82</v>
      </c>
      <c r="C91" s="7"/>
      <c r="D91" s="7"/>
      <c r="E91" s="7"/>
      <c r="F91" s="15"/>
      <c r="G91" s="159">
        <f>530.9</f>
        <v>530.9</v>
      </c>
      <c r="H91" s="160"/>
      <c r="I91" s="159">
        <f>K91-G91</f>
        <v>0</v>
      </c>
      <c r="J91" s="160"/>
      <c r="K91" s="159">
        <f>530.9</f>
        <v>530.9</v>
      </c>
      <c r="L91" s="160"/>
      <c r="M91" s="54">
        <f>K91/G91*100</f>
        <v>100</v>
      </c>
      <c r="N91" s="2"/>
    </row>
    <row r="92" spans="1:14" x14ac:dyDescent="0.25">
      <c r="A92" s="14">
        <v>3293</v>
      </c>
      <c r="B92" s="7" t="s">
        <v>83</v>
      </c>
      <c r="C92" s="7"/>
      <c r="D92" s="7"/>
      <c r="E92" s="7"/>
      <c r="F92" s="15"/>
      <c r="G92" s="159">
        <f>398.18</f>
        <v>398.18</v>
      </c>
      <c r="H92" s="160"/>
      <c r="I92" s="159">
        <f t="shared" ref="I92:I96" si="44">K92-G92</f>
        <v>1.8199999999999932</v>
      </c>
      <c r="J92" s="160"/>
      <c r="K92" s="159">
        <f>400</f>
        <v>400</v>
      </c>
      <c r="L92" s="160"/>
      <c r="M92" s="54">
        <f t="shared" ref="M92:M96" si="45">K92/G92*100</f>
        <v>100.45707971269276</v>
      </c>
      <c r="N92" s="2"/>
    </row>
    <row r="93" spans="1:14" x14ac:dyDescent="0.25">
      <c r="A93" s="14">
        <v>3294</v>
      </c>
      <c r="B93" s="7" t="s">
        <v>104</v>
      </c>
      <c r="C93" s="7"/>
      <c r="D93" s="7"/>
      <c r="E93" s="7"/>
      <c r="F93" s="15"/>
      <c r="G93" s="159">
        <f>66.37</f>
        <v>66.37</v>
      </c>
      <c r="H93" s="160"/>
      <c r="I93" s="159">
        <f t="shared" si="44"/>
        <v>3.6299999999999955</v>
      </c>
      <c r="J93" s="160"/>
      <c r="K93" s="159">
        <f>70</f>
        <v>70</v>
      </c>
      <c r="L93" s="160"/>
      <c r="M93" s="54">
        <f t="shared" si="45"/>
        <v>105.46933855657676</v>
      </c>
      <c r="N93" s="2"/>
    </row>
    <row r="94" spans="1:14" x14ac:dyDescent="0.25">
      <c r="A94" s="14">
        <v>3295</v>
      </c>
      <c r="B94" s="7" t="s">
        <v>85</v>
      </c>
      <c r="C94" s="7"/>
      <c r="D94" s="7"/>
      <c r="E94" s="7"/>
      <c r="F94" s="15"/>
      <c r="G94" s="159">
        <f>2787.18</f>
        <v>2787.18</v>
      </c>
      <c r="H94" s="160"/>
      <c r="I94" s="159">
        <f t="shared" si="44"/>
        <v>-1087.1799999999998</v>
      </c>
      <c r="J94" s="160"/>
      <c r="K94" s="159">
        <v>1700</v>
      </c>
      <c r="L94" s="160"/>
      <c r="M94" s="54">
        <f t="shared" si="45"/>
        <v>60.99354903522557</v>
      </c>
      <c r="N94" s="2"/>
    </row>
    <row r="95" spans="1:14" x14ac:dyDescent="0.25">
      <c r="A95" s="14">
        <v>3296</v>
      </c>
      <c r="B95" s="7" t="s">
        <v>86</v>
      </c>
      <c r="C95" s="7"/>
      <c r="D95" s="7"/>
      <c r="E95" s="7"/>
      <c r="F95" s="15"/>
      <c r="G95" s="159"/>
      <c r="H95" s="160"/>
      <c r="I95" s="159">
        <f t="shared" si="44"/>
        <v>4130.7800000000007</v>
      </c>
      <c r="J95" s="160"/>
      <c r="K95" s="159">
        <f>1266.77+2864.01</f>
        <v>4130.7800000000007</v>
      </c>
      <c r="L95" s="160"/>
      <c r="M95" s="54" t="e">
        <f t="shared" si="45"/>
        <v>#DIV/0!</v>
      </c>
      <c r="N95" s="2"/>
    </row>
    <row r="96" spans="1:14" x14ac:dyDescent="0.25">
      <c r="A96" s="14">
        <v>3299</v>
      </c>
      <c r="B96" s="7" t="s">
        <v>80</v>
      </c>
      <c r="C96" s="7"/>
      <c r="D96" s="7"/>
      <c r="E96" s="7"/>
      <c r="F96" s="15"/>
      <c r="G96" s="159">
        <f>2766.33+929.06+2654.46</f>
        <v>6349.85</v>
      </c>
      <c r="H96" s="160"/>
      <c r="I96" s="159">
        <f t="shared" si="44"/>
        <v>6260.7999999999993</v>
      </c>
      <c r="J96" s="160"/>
      <c r="K96" s="159">
        <f>5530.08+3070.57+4000+10</f>
        <v>12610.65</v>
      </c>
      <c r="L96" s="160"/>
      <c r="M96" s="54">
        <f t="shared" si="45"/>
        <v>198.5976046678268</v>
      </c>
      <c r="N96" s="2"/>
    </row>
    <row r="97" spans="1:14" x14ac:dyDescent="0.25">
      <c r="A97" s="21">
        <v>34</v>
      </c>
      <c r="B97" s="5" t="s">
        <v>87</v>
      </c>
      <c r="C97" s="5"/>
      <c r="D97" s="5"/>
      <c r="E97" s="5"/>
      <c r="F97" s="22"/>
      <c r="G97" s="138">
        <f t="shared" ref="G97:K106" si="46">G98</f>
        <v>0</v>
      </c>
      <c r="H97" s="139"/>
      <c r="I97" s="138">
        <f t="shared" si="46"/>
        <v>0</v>
      </c>
      <c r="J97" s="139"/>
      <c r="K97" s="138">
        <f t="shared" si="46"/>
        <v>0</v>
      </c>
      <c r="L97" s="139"/>
      <c r="M97" s="53" t="e">
        <f>K97/G97*100</f>
        <v>#DIV/0!</v>
      </c>
      <c r="N97" s="2"/>
    </row>
    <row r="98" spans="1:14" x14ac:dyDescent="0.25">
      <c r="A98" s="12">
        <v>343</v>
      </c>
      <c r="B98" s="4" t="s">
        <v>105</v>
      </c>
      <c r="C98" s="4"/>
      <c r="D98" s="4"/>
      <c r="E98" s="4"/>
      <c r="F98" s="13"/>
      <c r="G98" s="126">
        <f t="shared" si="46"/>
        <v>0</v>
      </c>
      <c r="H98" s="127"/>
      <c r="I98" s="126">
        <f t="shared" si="46"/>
        <v>0</v>
      </c>
      <c r="J98" s="127"/>
      <c r="K98" s="126">
        <f t="shared" si="46"/>
        <v>0</v>
      </c>
      <c r="L98" s="127"/>
      <c r="M98" s="54" t="e">
        <f>K98/G98*100</f>
        <v>#DIV/0!</v>
      </c>
      <c r="N98" s="2"/>
    </row>
    <row r="99" spans="1:14" x14ac:dyDescent="0.25">
      <c r="A99" s="17">
        <v>3433</v>
      </c>
      <c r="B99" s="8" t="s">
        <v>88</v>
      </c>
      <c r="C99" s="8"/>
      <c r="D99" s="8"/>
      <c r="E99" s="8"/>
      <c r="F99" s="32"/>
      <c r="G99" s="128"/>
      <c r="H99" s="129"/>
      <c r="I99" s="128">
        <f>K99-G99</f>
        <v>0</v>
      </c>
      <c r="J99" s="129"/>
      <c r="K99" s="128"/>
      <c r="L99" s="129"/>
      <c r="M99" s="54" t="e">
        <f>K99/G99*100</f>
        <v>#DIV/0!</v>
      </c>
      <c r="N99" s="2"/>
    </row>
    <row r="100" spans="1:14" x14ac:dyDescent="0.25">
      <c r="A100" s="10">
        <v>37</v>
      </c>
      <c r="B100" s="130" t="s">
        <v>148</v>
      </c>
      <c r="C100" s="130"/>
      <c r="D100" s="130"/>
      <c r="E100" s="130"/>
      <c r="F100" s="131"/>
      <c r="G100" s="134">
        <f>G102</f>
        <v>0</v>
      </c>
      <c r="H100" s="135"/>
      <c r="I100" s="134">
        <f>I102</f>
        <v>0</v>
      </c>
      <c r="J100" s="135"/>
      <c r="K100" s="134">
        <f>K102</f>
        <v>0</v>
      </c>
      <c r="L100" s="135"/>
      <c r="M100" s="124" t="e">
        <f>K100/G100*100</f>
        <v>#DIV/0!</v>
      </c>
      <c r="N100" s="2"/>
    </row>
    <row r="101" spans="1:14" x14ac:dyDescent="0.25">
      <c r="A101" s="40"/>
      <c r="B101" s="132"/>
      <c r="C101" s="132"/>
      <c r="D101" s="132"/>
      <c r="E101" s="132"/>
      <c r="F101" s="133"/>
      <c r="G101" s="136"/>
      <c r="H101" s="137"/>
      <c r="I101" s="136"/>
      <c r="J101" s="137"/>
      <c r="K101" s="136"/>
      <c r="L101" s="137"/>
      <c r="M101" s="125"/>
      <c r="N101" s="2"/>
    </row>
    <row r="102" spans="1:14" x14ac:dyDescent="0.25">
      <c r="A102" s="12">
        <v>372</v>
      </c>
      <c r="B102" s="4" t="s">
        <v>149</v>
      </c>
      <c r="C102" s="4"/>
      <c r="D102" s="4"/>
      <c r="E102" s="4"/>
      <c r="F102" s="13"/>
      <c r="G102" s="126">
        <f t="shared" ref="G102" si="47">G103+G104</f>
        <v>0</v>
      </c>
      <c r="H102" s="127"/>
      <c r="I102" s="126">
        <f t="shared" ref="I102" si="48">I103+I104</f>
        <v>0</v>
      </c>
      <c r="J102" s="127"/>
      <c r="K102" s="126">
        <f>K103+K104</f>
        <v>0</v>
      </c>
      <c r="L102" s="127"/>
      <c r="M102" s="54" t="e">
        <f>K102/G102*100</f>
        <v>#DIV/0!</v>
      </c>
      <c r="N102" s="2"/>
    </row>
    <row r="103" spans="1:14" x14ac:dyDescent="0.25">
      <c r="A103" s="17">
        <v>3721</v>
      </c>
      <c r="B103" s="8" t="s">
        <v>150</v>
      </c>
      <c r="C103" s="8"/>
      <c r="D103" s="8"/>
      <c r="E103" s="8"/>
      <c r="F103" s="32"/>
      <c r="G103" s="128"/>
      <c r="H103" s="129"/>
      <c r="I103" s="128">
        <f>K103-G103</f>
        <v>0</v>
      </c>
      <c r="J103" s="129"/>
      <c r="K103" s="128"/>
      <c r="L103" s="129"/>
      <c r="M103" s="54" t="e">
        <f t="shared" ref="M103:M107" si="49">K103/G103*100</f>
        <v>#DIV/0!</v>
      </c>
      <c r="N103" s="2"/>
    </row>
    <row r="104" spans="1:14" x14ac:dyDescent="0.25">
      <c r="A104" s="17">
        <v>3722</v>
      </c>
      <c r="B104" s="8" t="s">
        <v>153</v>
      </c>
      <c r="C104" s="8"/>
      <c r="D104" s="8"/>
      <c r="E104" s="8"/>
      <c r="F104" s="32"/>
      <c r="G104" s="128"/>
      <c r="H104" s="129"/>
      <c r="I104" s="128">
        <f>K104-G104</f>
        <v>0</v>
      </c>
      <c r="J104" s="129"/>
      <c r="K104" s="128"/>
      <c r="L104" s="129"/>
      <c r="M104" s="54" t="e">
        <f t="shared" si="49"/>
        <v>#DIV/0!</v>
      </c>
      <c r="N104" s="2"/>
    </row>
    <row r="105" spans="1:14" x14ac:dyDescent="0.25">
      <c r="A105" s="21">
        <v>38</v>
      </c>
      <c r="B105" s="5" t="s">
        <v>151</v>
      </c>
      <c r="C105" s="5"/>
      <c r="D105" s="5"/>
      <c r="E105" s="5"/>
      <c r="F105" s="22"/>
      <c r="G105" s="138">
        <f t="shared" si="46"/>
        <v>0</v>
      </c>
      <c r="H105" s="139"/>
      <c r="I105" s="138">
        <f t="shared" si="46"/>
        <v>0</v>
      </c>
      <c r="J105" s="139"/>
      <c r="K105" s="138">
        <f t="shared" si="46"/>
        <v>0</v>
      </c>
      <c r="L105" s="139"/>
      <c r="M105" s="54" t="e">
        <f t="shared" si="49"/>
        <v>#DIV/0!</v>
      </c>
      <c r="N105" s="2"/>
    </row>
    <row r="106" spans="1:14" x14ac:dyDescent="0.25">
      <c r="A106" s="12">
        <v>381</v>
      </c>
      <c r="B106" s="4" t="s">
        <v>38</v>
      </c>
      <c r="C106" s="4"/>
      <c r="D106" s="4"/>
      <c r="E106" s="4"/>
      <c r="F106" s="13"/>
      <c r="G106" s="126">
        <f t="shared" si="46"/>
        <v>0</v>
      </c>
      <c r="H106" s="127"/>
      <c r="I106" s="126">
        <f t="shared" si="46"/>
        <v>0</v>
      </c>
      <c r="J106" s="127"/>
      <c r="K106" s="126">
        <f t="shared" si="46"/>
        <v>0</v>
      </c>
      <c r="L106" s="127"/>
      <c r="M106" s="54" t="e">
        <f t="shared" si="49"/>
        <v>#DIV/0!</v>
      </c>
      <c r="N106" s="2"/>
    </row>
    <row r="107" spans="1:14" x14ac:dyDescent="0.25">
      <c r="A107" s="17">
        <v>3811</v>
      </c>
      <c r="B107" s="8" t="s">
        <v>152</v>
      </c>
      <c r="C107" s="8"/>
      <c r="D107" s="8"/>
      <c r="E107" s="8"/>
      <c r="F107" s="32"/>
      <c r="G107" s="128"/>
      <c r="H107" s="129"/>
      <c r="I107" s="128">
        <f>K107-G107</f>
        <v>0</v>
      </c>
      <c r="J107" s="129"/>
      <c r="K107" s="128"/>
      <c r="L107" s="129"/>
      <c r="M107" s="54" t="e">
        <f t="shared" si="49"/>
        <v>#DIV/0!</v>
      </c>
      <c r="N107" s="2"/>
    </row>
    <row r="108" spans="1:14" x14ac:dyDescent="0.25">
      <c r="A108" s="19">
        <v>4</v>
      </c>
      <c r="B108" s="172" t="s">
        <v>99</v>
      </c>
      <c r="C108" s="172"/>
      <c r="D108" s="172"/>
      <c r="E108" s="172"/>
      <c r="F108" s="173"/>
      <c r="G108" s="168">
        <f t="shared" ref="G108" si="50">G109+G112</f>
        <v>2787.19</v>
      </c>
      <c r="H108" s="169"/>
      <c r="I108" s="168">
        <f>I109+I112</f>
        <v>2012.81</v>
      </c>
      <c r="J108" s="169"/>
      <c r="K108" s="168">
        <f t="shared" ref="K108" si="51">K109+K112</f>
        <v>4800</v>
      </c>
      <c r="L108" s="169"/>
      <c r="M108" s="56">
        <f t="shared" ref="M108:M113" si="52">K108/G108*100</f>
        <v>172.21646174103665</v>
      </c>
      <c r="N108" s="2"/>
    </row>
    <row r="109" spans="1:14" x14ac:dyDescent="0.25">
      <c r="A109" s="21">
        <v>41</v>
      </c>
      <c r="B109" s="5" t="s">
        <v>89</v>
      </c>
      <c r="C109" s="5"/>
      <c r="D109" s="5"/>
      <c r="E109" s="5"/>
      <c r="F109" s="22"/>
      <c r="G109" s="138">
        <f t="shared" ref="G109:K110" si="53">G110</f>
        <v>0</v>
      </c>
      <c r="H109" s="139"/>
      <c r="I109" s="138">
        <f t="shared" si="53"/>
        <v>0</v>
      </c>
      <c r="J109" s="139"/>
      <c r="K109" s="138">
        <f t="shared" ref="K109" si="54">K110</f>
        <v>0</v>
      </c>
      <c r="L109" s="139"/>
      <c r="M109" s="53" t="e">
        <f t="shared" si="52"/>
        <v>#DIV/0!</v>
      </c>
      <c r="N109" s="2"/>
    </row>
    <row r="110" spans="1:14" x14ac:dyDescent="0.25">
      <c r="A110" s="12">
        <v>412</v>
      </c>
      <c r="B110" s="4" t="s">
        <v>90</v>
      </c>
      <c r="C110" s="4"/>
      <c r="D110" s="4"/>
      <c r="E110" s="4"/>
      <c r="F110" s="13"/>
      <c r="G110" s="126">
        <f t="shared" si="53"/>
        <v>0</v>
      </c>
      <c r="H110" s="127"/>
      <c r="I110" s="126">
        <f t="shared" si="53"/>
        <v>0</v>
      </c>
      <c r="J110" s="127"/>
      <c r="K110" s="126">
        <f t="shared" si="53"/>
        <v>0</v>
      </c>
      <c r="L110" s="127"/>
      <c r="M110" s="54" t="e">
        <f t="shared" si="52"/>
        <v>#DIV/0!</v>
      </c>
      <c r="N110" s="2"/>
    </row>
    <row r="111" spans="1:14" x14ac:dyDescent="0.25">
      <c r="A111" s="14">
        <v>4123</v>
      </c>
      <c r="B111" s="7" t="s">
        <v>91</v>
      </c>
      <c r="C111" s="7"/>
      <c r="D111" s="7"/>
      <c r="E111" s="7"/>
      <c r="F111" s="15"/>
      <c r="G111" s="159"/>
      <c r="H111" s="160"/>
      <c r="I111" s="159">
        <f>K111-G111</f>
        <v>0</v>
      </c>
      <c r="J111" s="160"/>
      <c r="K111" s="159"/>
      <c r="L111" s="160"/>
      <c r="M111" s="54" t="e">
        <f t="shared" si="52"/>
        <v>#DIV/0!</v>
      </c>
      <c r="N111" s="2"/>
    </row>
    <row r="112" spans="1:14" x14ac:dyDescent="0.25">
      <c r="A112" s="21">
        <v>42</v>
      </c>
      <c r="B112" s="5" t="s">
        <v>92</v>
      </c>
      <c r="C112" s="5"/>
      <c r="D112" s="5"/>
      <c r="E112" s="5"/>
      <c r="F112" s="22"/>
      <c r="G112" s="138">
        <f t="shared" ref="G112:K112" si="55">G113+G119</f>
        <v>2787.19</v>
      </c>
      <c r="H112" s="139"/>
      <c r="I112" s="138">
        <f t="shared" si="55"/>
        <v>2012.81</v>
      </c>
      <c r="J112" s="139"/>
      <c r="K112" s="138">
        <f t="shared" si="55"/>
        <v>4800</v>
      </c>
      <c r="L112" s="139"/>
      <c r="M112" s="53">
        <f t="shared" si="52"/>
        <v>172.21646174103665</v>
      </c>
      <c r="N112" s="2"/>
    </row>
    <row r="113" spans="1:16" x14ac:dyDescent="0.25">
      <c r="A113" s="12">
        <v>422</v>
      </c>
      <c r="B113" s="4" t="s">
        <v>93</v>
      </c>
      <c r="C113" s="4"/>
      <c r="D113" s="4"/>
      <c r="E113" s="4"/>
      <c r="F113" s="13"/>
      <c r="G113" s="126">
        <f t="shared" ref="G113" si="56">G114+G115+G116+G117+G118</f>
        <v>1858.13</v>
      </c>
      <c r="H113" s="127"/>
      <c r="I113" s="126">
        <f t="shared" ref="I113" si="57">I114+I115+I116+I117+I118</f>
        <v>941.86999999999989</v>
      </c>
      <c r="J113" s="127"/>
      <c r="K113" s="126">
        <f t="shared" ref="K113" si="58">K114+K115+K116+K117+K118</f>
        <v>2800</v>
      </c>
      <c r="L113" s="127"/>
      <c r="M113" s="54">
        <f t="shared" si="52"/>
        <v>150.68913369893386</v>
      </c>
      <c r="N113" s="2"/>
    </row>
    <row r="114" spans="1:16" x14ac:dyDescent="0.25">
      <c r="A114" s="14">
        <v>4221</v>
      </c>
      <c r="B114" s="7" t="s">
        <v>106</v>
      </c>
      <c r="C114" s="7"/>
      <c r="D114" s="7"/>
      <c r="E114" s="7"/>
      <c r="F114" s="15"/>
      <c r="G114" s="159">
        <f>796.34+1061.79</f>
        <v>1858.13</v>
      </c>
      <c r="H114" s="160"/>
      <c r="I114" s="159">
        <f>K114-G114</f>
        <v>941.86999999999989</v>
      </c>
      <c r="J114" s="160"/>
      <c r="K114" s="159">
        <f>1500+1300</f>
        <v>2800</v>
      </c>
      <c r="L114" s="160"/>
      <c r="M114" s="54">
        <f t="shared" ref="M114:M120" si="59">K114/G114*100</f>
        <v>150.68913369893386</v>
      </c>
      <c r="N114" s="2"/>
    </row>
    <row r="115" spans="1:16" x14ac:dyDescent="0.25">
      <c r="A115" s="14">
        <v>4222</v>
      </c>
      <c r="B115" s="7" t="s">
        <v>107</v>
      </c>
      <c r="C115" s="7"/>
      <c r="D115" s="7"/>
      <c r="E115" s="7"/>
      <c r="F115" s="15"/>
      <c r="G115" s="159"/>
      <c r="H115" s="160"/>
      <c r="I115" s="159">
        <f t="shared" ref="I115:I118" si="60">K115-G115</f>
        <v>0</v>
      </c>
      <c r="J115" s="160"/>
      <c r="K115" s="159"/>
      <c r="L115" s="160"/>
      <c r="M115" s="54" t="e">
        <f t="shared" si="59"/>
        <v>#DIV/0!</v>
      </c>
      <c r="N115" s="2"/>
    </row>
    <row r="116" spans="1:16" x14ac:dyDescent="0.25">
      <c r="A116" s="14">
        <v>4223</v>
      </c>
      <c r="B116" s="7" t="s">
        <v>94</v>
      </c>
      <c r="C116" s="7"/>
      <c r="D116" s="7"/>
      <c r="E116" s="7"/>
      <c r="F116" s="15"/>
      <c r="G116" s="159"/>
      <c r="H116" s="160"/>
      <c r="I116" s="159">
        <f t="shared" si="60"/>
        <v>0</v>
      </c>
      <c r="J116" s="160"/>
      <c r="K116" s="159"/>
      <c r="L116" s="160"/>
      <c r="M116" s="54" t="e">
        <f t="shared" si="59"/>
        <v>#DIV/0!</v>
      </c>
      <c r="N116" s="2"/>
    </row>
    <row r="117" spans="1:16" x14ac:dyDescent="0.25">
      <c r="A117" s="14">
        <v>4225</v>
      </c>
      <c r="B117" s="7" t="s">
        <v>95</v>
      </c>
      <c r="C117" s="7"/>
      <c r="D117" s="7"/>
      <c r="E117" s="7"/>
      <c r="F117" s="15"/>
      <c r="G117" s="159"/>
      <c r="H117" s="160"/>
      <c r="I117" s="159">
        <f t="shared" si="60"/>
        <v>0</v>
      </c>
      <c r="J117" s="160"/>
      <c r="K117" s="159"/>
      <c r="L117" s="160"/>
      <c r="M117" s="54" t="e">
        <f t="shared" si="59"/>
        <v>#DIV/0!</v>
      </c>
      <c r="N117" s="2"/>
    </row>
    <row r="118" spans="1:16" x14ac:dyDescent="0.25">
      <c r="A118" s="14">
        <v>4227</v>
      </c>
      <c r="B118" s="7" t="s">
        <v>96</v>
      </c>
      <c r="C118" s="7"/>
      <c r="D118" s="7"/>
      <c r="E118" s="7"/>
      <c r="F118" s="15"/>
      <c r="G118" s="159"/>
      <c r="H118" s="160"/>
      <c r="I118" s="159">
        <f t="shared" si="60"/>
        <v>0</v>
      </c>
      <c r="J118" s="160"/>
      <c r="K118" s="159"/>
      <c r="L118" s="160"/>
      <c r="M118" s="54" t="e">
        <f t="shared" si="59"/>
        <v>#DIV/0!</v>
      </c>
      <c r="N118" s="2"/>
    </row>
    <row r="119" spans="1:16" x14ac:dyDescent="0.25">
      <c r="A119" s="12">
        <v>424</v>
      </c>
      <c r="B119" s="4" t="s">
        <v>97</v>
      </c>
      <c r="C119" s="4"/>
      <c r="D119" s="4"/>
      <c r="E119" s="4"/>
      <c r="F119" s="13"/>
      <c r="G119" s="126">
        <f t="shared" ref="G119:K119" si="61">G120</f>
        <v>929.06</v>
      </c>
      <c r="H119" s="127"/>
      <c r="I119" s="126">
        <f t="shared" si="61"/>
        <v>1070.94</v>
      </c>
      <c r="J119" s="127"/>
      <c r="K119" s="126">
        <f t="shared" si="61"/>
        <v>2000</v>
      </c>
      <c r="L119" s="127"/>
      <c r="M119" s="54">
        <f t="shared" si="59"/>
        <v>215.27134953609024</v>
      </c>
      <c r="N119" s="2"/>
    </row>
    <row r="120" spans="1:16" ht="15.75" thickBot="1" x14ac:dyDescent="0.3">
      <c r="A120" s="33">
        <v>4241</v>
      </c>
      <c r="B120" s="34" t="s">
        <v>98</v>
      </c>
      <c r="C120" s="34"/>
      <c r="D120" s="34"/>
      <c r="E120" s="34"/>
      <c r="F120" s="35"/>
      <c r="G120" s="166">
        <v>929.06</v>
      </c>
      <c r="H120" s="167"/>
      <c r="I120" s="166">
        <f>K120-G120</f>
        <v>1070.94</v>
      </c>
      <c r="J120" s="167"/>
      <c r="K120" s="166">
        <f>1000+1000</f>
        <v>2000</v>
      </c>
      <c r="L120" s="167"/>
      <c r="M120" s="54">
        <f t="shared" si="59"/>
        <v>215.27134953609024</v>
      </c>
      <c r="N120" s="2"/>
    </row>
    <row r="121" spans="1:16" ht="15.75" thickBot="1" x14ac:dyDescent="0.3">
      <c r="A121" s="170" t="s">
        <v>54</v>
      </c>
      <c r="B121" s="170" t="s">
        <v>54</v>
      </c>
      <c r="C121" s="170"/>
      <c r="D121" s="170"/>
      <c r="E121" s="170"/>
      <c r="F121" s="170"/>
      <c r="G121" s="171">
        <f t="shared" ref="G121:I121" si="62">G57+G108</f>
        <v>1552330.5299999998</v>
      </c>
      <c r="H121" s="171"/>
      <c r="I121" s="171">
        <f t="shared" si="62"/>
        <v>214584.24999999988</v>
      </c>
      <c r="J121" s="171"/>
      <c r="K121" s="171">
        <f t="shared" ref="K121" si="63">K57+K108</f>
        <v>1766914.7799999998</v>
      </c>
      <c r="L121" s="171"/>
      <c r="M121" s="69">
        <f>K121/G121*100</f>
        <v>113.82336080190345</v>
      </c>
      <c r="N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P122" s="36"/>
    </row>
    <row r="124" spans="1:16" x14ac:dyDescent="0.25">
      <c r="I124" s="36"/>
      <c r="P124" s="36"/>
    </row>
  </sheetData>
  <customSheetViews>
    <customSheetView guid="{005C429F-8448-44DF-83AD-8A930973E873}">
      <selection activeCell="G12" sqref="G12:L12"/>
      <rowBreaks count="1" manualBreakCount="1">
        <brk id="57" max="16383" man="1"/>
      </rowBreaks>
      <pageMargins left="0.7" right="0.7" top="0.75" bottom="0.75" header="0.3" footer="0.3"/>
      <pageSetup paperSize="9" scale="71" orientation="portrait" r:id="rId1"/>
    </customSheetView>
  </customSheetViews>
  <mergeCells count="327">
    <mergeCell ref="G51:H51"/>
    <mergeCell ref="G52:H52"/>
    <mergeCell ref="G53:H53"/>
    <mergeCell ref="G54:H54"/>
    <mergeCell ref="G55:H55"/>
    <mergeCell ref="G57:H57"/>
    <mergeCell ref="G58:H58"/>
    <mergeCell ref="G59:H59"/>
    <mergeCell ref="G60:H60"/>
    <mergeCell ref="G36:H37"/>
    <mergeCell ref="G38:H38"/>
    <mergeCell ref="G39:H39"/>
    <mergeCell ref="G40:H41"/>
    <mergeCell ref="G42:H42"/>
    <mergeCell ref="G43:H44"/>
    <mergeCell ref="G45:H46"/>
    <mergeCell ref="G47:H48"/>
    <mergeCell ref="G49:H50"/>
    <mergeCell ref="G22:H22"/>
    <mergeCell ref="G23:H23"/>
    <mergeCell ref="G24:H25"/>
    <mergeCell ref="G26:H27"/>
    <mergeCell ref="G28:H29"/>
    <mergeCell ref="G30:H31"/>
    <mergeCell ref="G32:H32"/>
    <mergeCell ref="G33:H33"/>
    <mergeCell ref="G34:H35"/>
    <mergeCell ref="G8:H9"/>
    <mergeCell ref="G10:H10"/>
    <mergeCell ref="G11:H11"/>
    <mergeCell ref="G12:H13"/>
    <mergeCell ref="G14:H14"/>
    <mergeCell ref="G15:H15"/>
    <mergeCell ref="G16:H17"/>
    <mergeCell ref="G18:H19"/>
    <mergeCell ref="G20:H21"/>
    <mergeCell ref="A10:F10"/>
    <mergeCell ref="A8:F9"/>
    <mergeCell ref="B49:F50"/>
    <mergeCell ref="B43:F44"/>
    <mergeCell ref="B40:F41"/>
    <mergeCell ref="B36:F37"/>
    <mergeCell ref="B30:F31"/>
    <mergeCell ref="B11:F11"/>
    <mergeCell ref="B12:F13"/>
    <mergeCell ref="B16:F17"/>
    <mergeCell ref="B18:F19"/>
    <mergeCell ref="B20:F21"/>
    <mergeCell ref="B45:F46"/>
    <mergeCell ref="B47:F48"/>
    <mergeCell ref="B24:F25"/>
    <mergeCell ref="I10:J10"/>
    <mergeCell ref="K10:L10"/>
    <mergeCell ref="I8:J9"/>
    <mergeCell ref="K8:L9"/>
    <mergeCell ref="I18:J19"/>
    <mergeCell ref="K18:L19"/>
    <mergeCell ref="I20:J21"/>
    <mergeCell ref="K20:L21"/>
    <mergeCell ref="I15:J15"/>
    <mergeCell ref="K15:L15"/>
    <mergeCell ref="I16:J17"/>
    <mergeCell ref="K16:L17"/>
    <mergeCell ref="I12:J13"/>
    <mergeCell ref="K12:L13"/>
    <mergeCell ref="I14:J14"/>
    <mergeCell ref="K14:L14"/>
    <mergeCell ref="I22:J22"/>
    <mergeCell ref="K22:L22"/>
    <mergeCell ref="I23:J23"/>
    <mergeCell ref="K23:L23"/>
    <mergeCell ref="I54:J54"/>
    <mergeCell ref="K54:L54"/>
    <mergeCell ref="I51:J51"/>
    <mergeCell ref="K51:L51"/>
    <mergeCell ref="I52:J52"/>
    <mergeCell ref="K52:L52"/>
    <mergeCell ref="I47:J48"/>
    <mergeCell ref="K47:L48"/>
    <mergeCell ref="I49:J50"/>
    <mergeCell ref="K49:L50"/>
    <mergeCell ref="I24:J25"/>
    <mergeCell ref="K24:L25"/>
    <mergeCell ref="K33:L33"/>
    <mergeCell ref="I36:J37"/>
    <mergeCell ref="K36:L37"/>
    <mergeCell ref="I40:J41"/>
    <mergeCell ref="K40:L41"/>
    <mergeCell ref="I42:J42"/>
    <mergeCell ref="K42:L42"/>
    <mergeCell ref="K53:L53"/>
    <mergeCell ref="M40:M41"/>
    <mergeCell ref="I38:J38"/>
    <mergeCell ref="K38:L38"/>
    <mergeCell ref="I39:J39"/>
    <mergeCell ref="K39:L39"/>
    <mergeCell ref="B57:F57"/>
    <mergeCell ref="I57:J57"/>
    <mergeCell ref="K57:L57"/>
    <mergeCell ref="I11:J11"/>
    <mergeCell ref="A55:F55"/>
    <mergeCell ref="I55:J55"/>
    <mergeCell ref="K55:L55"/>
    <mergeCell ref="M43:M44"/>
    <mergeCell ref="M45:M46"/>
    <mergeCell ref="M47:M48"/>
    <mergeCell ref="M49:M50"/>
    <mergeCell ref="K11:L11"/>
    <mergeCell ref="M12:M13"/>
    <mergeCell ref="M16:M17"/>
    <mergeCell ref="M18:M19"/>
    <mergeCell ref="M20:M21"/>
    <mergeCell ref="M30:M31"/>
    <mergeCell ref="M36:M37"/>
    <mergeCell ref="I53:J53"/>
    <mergeCell ref="I43:J44"/>
    <mergeCell ref="K43:L44"/>
    <mergeCell ref="I45:J46"/>
    <mergeCell ref="K45:L46"/>
    <mergeCell ref="I59:J59"/>
    <mergeCell ref="K59:L59"/>
    <mergeCell ref="B89:F90"/>
    <mergeCell ref="I60:J60"/>
    <mergeCell ref="K60:L60"/>
    <mergeCell ref="I61:J61"/>
    <mergeCell ref="K61:L61"/>
    <mergeCell ref="I62:J62"/>
    <mergeCell ref="K62:L62"/>
    <mergeCell ref="I63:J63"/>
    <mergeCell ref="K63:L63"/>
    <mergeCell ref="I66:J66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1:H81"/>
    <mergeCell ref="G82:H82"/>
    <mergeCell ref="G83:H83"/>
    <mergeCell ref="K66:L66"/>
    <mergeCell ref="I67:J67"/>
    <mergeCell ref="K67:L67"/>
    <mergeCell ref="I64:J64"/>
    <mergeCell ref="K64:L64"/>
    <mergeCell ref="I65:J65"/>
    <mergeCell ref="K65:L65"/>
    <mergeCell ref="I71:J71"/>
    <mergeCell ref="K71:L71"/>
    <mergeCell ref="I72:J72"/>
    <mergeCell ref="K72:L72"/>
    <mergeCell ref="I68:J68"/>
    <mergeCell ref="K68:L68"/>
    <mergeCell ref="I69:J69"/>
    <mergeCell ref="K69:L69"/>
    <mergeCell ref="G70:H70"/>
    <mergeCell ref="G71:H71"/>
    <mergeCell ref="G72:H72"/>
    <mergeCell ref="G77:H77"/>
    <mergeCell ref="G78:H78"/>
    <mergeCell ref="A121:F121"/>
    <mergeCell ref="I121:J121"/>
    <mergeCell ref="K121:L121"/>
    <mergeCell ref="B108:F108"/>
    <mergeCell ref="G84:H84"/>
    <mergeCell ref="G85:H85"/>
    <mergeCell ref="G86:H86"/>
    <mergeCell ref="G87:H87"/>
    <mergeCell ref="G88:H88"/>
    <mergeCell ref="G89:H90"/>
    <mergeCell ref="G118:H118"/>
    <mergeCell ref="G119:H119"/>
    <mergeCell ref="G120:H120"/>
    <mergeCell ref="G121:H121"/>
    <mergeCell ref="G108:H108"/>
    <mergeCell ref="G109:H109"/>
    <mergeCell ref="G110:H110"/>
    <mergeCell ref="I88:J88"/>
    <mergeCell ref="K88:L88"/>
    <mergeCell ref="I86:J86"/>
    <mergeCell ref="K86:L86"/>
    <mergeCell ref="I87:J87"/>
    <mergeCell ref="K87:L87"/>
    <mergeCell ref="I84:J84"/>
    <mergeCell ref="G79:H79"/>
    <mergeCell ref="G80:H80"/>
    <mergeCell ref="I75:J75"/>
    <mergeCell ref="K75:L75"/>
    <mergeCell ref="I76:J76"/>
    <mergeCell ref="K76:L76"/>
    <mergeCell ref="I73:J73"/>
    <mergeCell ref="K73:L73"/>
    <mergeCell ref="I74:J74"/>
    <mergeCell ref="K74:L74"/>
    <mergeCell ref="G73:H73"/>
    <mergeCell ref="G74:H74"/>
    <mergeCell ref="G75:H75"/>
    <mergeCell ref="G76:H76"/>
    <mergeCell ref="I82:J82"/>
    <mergeCell ref="K82:L82"/>
    <mergeCell ref="I83:J83"/>
    <mergeCell ref="K83:L83"/>
    <mergeCell ref="I79:J79"/>
    <mergeCell ref="K79:L79"/>
    <mergeCell ref="I80:J80"/>
    <mergeCell ref="K80:L80"/>
    <mergeCell ref="I77:J77"/>
    <mergeCell ref="K77:L77"/>
    <mergeCell ref="I78:J78"/>
    <mergeCell ref="K78:L78"/>
    <mergeCell ref="K84:L84"/>
    <mergeCell ref="I85:J85"/>
    <mergeCell ref="K85:L85"/>
    <mergeCell ref="I92:J92"/>
    <mergeCell ref="K92:L92"/>
    <mergeCell ref="I93:J93"/>
    <mergeCell ref="K93:L93"/>
    <mergeCell ref="I91:J91"/>
    <mergeCell ref="K91:L91"/>
    <mergeCell ref="G91:H91"/>
    <mergeCell ref="G92:H92"/>
    <mergeCell ref="G93:H93"/>
    <mergeCell ref="G98:H98"/>
    <mergeCell ref="G99:H99"/>
    <mergeCell ref="G100:H101"/>
    <mergeCell ref="I96:J96"/>
    <mergeCell ref="K96:L96"/>
    <mergeCell ref="I97:J97"/>
    <mergeCell ref="K97:L97"/>
    <mergeCell ref="I94:J94"/>
    <mergeCell ref="K94:L94"/>
    <mergeCell ref="I95:J95"/>
    <mergeCell ref="K95:L95"/>
    <mergeCell ref="G94:H94"/>
    <mergeCell ref="G95:H95"/>
    <mergeCell ref="G96:H96"/>
    <mergeCell ref="G97:H97"/>
    <mergeCell ref="I108:J108"/>
    <mergeCell ref="K108:L108"/>
    <mergeCell ref="I109:J109"/>
    <mergeCell ref="K109:L109"/>
    <mergeCell ref="I98:J98"/>
    <mergeCell ref="K98:L98"/>
    <mergeCell ref="I99:J99"/>
    <mergeCell ref="K99:L99"/>
    <mergeCell ref="I102:J102"/>
    <mergeCell ref="K102:L102"/>
    <mergeCell ref="I103:J103"/>
    <mergeCell ref="K103:L103"/>
    <mergeCell ref="I105:J105"/>
    <mergeCell ref="K105:L105"/>
    <mergeCell ref="G117:H117"/>
    <mergeCell ref="I112:J112"/>
    <mergeCell ref="K112:L112"/>
    <mergeCell ref="I113:J113"/>
    <mergeCell ref="K113:L113"/>
    <mergeCell ref="I110:J110"/>
    <mergeCell ref="K110:L110"/>
    <mergeCell ref="I111:J111"/>
    <mergeCell ref="K111:L111"/>
    <mergeCell ref="G111:H111"/>
    <mergeCell ref="G112:H112"/>
    <mergeCell ref="G113:H113"/>
    <mergeCell ref="G114:H114"/>
    <mergeCell ref="G115:H115"/>
    <mergeCell ref="G116:H116"/>
    <mergeCell ref="A5:M5"/>
    <mergeCell ref="K81:L81"/>
    <mergeCell ref="I89:J90"/>
    <mergeCell ref="K89:L90"/>
    <mergeCell ref="M89:M90"/>
    <mergeCell ref="I120:J120"/>
    <mergeCell ref="K120:L120"/>
    <mergeCell ref="I58:J58"/>
    <mergeCell ref="K58:L58"/>
    <mergeCell ref="I70:J70"/>
    <mergeCell ref="K70:L70"/>
    <mergeCell ref="I81:J81"/>
    <mergeCell ref="I118:J118"/>
    <mergeCell ref="K118:L118"/>
    <mergeCell ref="I119:J119"/>
    <mergeCell ref="K119:L119"/>
    <mergeCell ref="I116:J116"/>
    <mergeCell ref="K116:L116"/>
    <mergeCell ref="I117:J117"/>
    <mergeCell ref="K117:L117"/>
    <mergeCell ref="I114:J114"/>
    <mergeCell ref="K114:L114"/>
    <mergeCell ref="I115:J115"/>
    <mergeCell ref="K115:L115"/>
    <mergeCell ref="M24:M25"/>
    <mergeCell ref="B28:F29"/>
    <mergeCell ref="I28:J29"/>
    <mergeCell ref="K28:L29"/>
    <mergeCell ref="B34:F35"/>
    <mergeCell ref="I34:J35"/>
    <mergeCell ref="K34:L35"/>
    <mergeCell ref="B26:F27"/>
    <mergeCell ref="I26:J27"/>
    <mergeCell ref="K26:L27"/>
    <mergeCell ref="M26:M27"/>
    <mergeCell ref="M28:M29"/>
    <mergeCell ref="I30:J31"/>
    <mergeCell ref="K30:L31"/>
    <mergeCell ref="I32:J32"/>
    <mergeCell ref="K32:L32"/>
    <mergeCell ref="M34:M35"/>
    <mergeCell ref="I33:J33"/>
    <mergeCell ref="M100:M101"/>
    <mergeCell ref="I106:J106"/>
    <mergeCell ref="K106:L106"/>
    <mergeCell ref="I107:J107"/>
    <mergeCell ref="K107:L107"/>
    <mergeCell ref="B100:F101"/>
    <mergeCell ref="I100:J101"/>
    <mergeCell ref="K100:L101"/>
    <mergeCell ref="G102:H102"/>
    <mergeCell ref="G103:H103"/>
    <mergeCell ref="G105:H105"/>
    <mergeCell ref="G106:H106"/>
    <mergeCell ref="G107:H107"/>
    <mergeCell ref="G104:H104"/>
    <mergeCell ref="I104:J104"/>
    <mergeCell ref="K104:L104"/>
  </mergeCells>
  <pageMargins left="0.7" right="0.7" top="0.75" bottom="0.75" header="0.3" footer="0.3"/>
  <pageSetup paperSize="9" scale="63" orientation="portrait" r:id="rId2"/>
  <rowBreaks count="1" manualBreakCount="1">
    <brk id="56" max="16383" man="1"/>
  </rowBreaks>
  <ignoredErrors>
    <ignoredError sqref="G61:H61 G60 G62 I60:J69 I71 I78 I119 I91 K60:L62" formula="1"/>
    <ignoredError sqref="M90 M13 M50 M48 M46 M44 M41 M37 M35 M31 M29 M25 M21 M19 M17 M27 M14:M16 M28 M18 M20 M22:M24 M26 M30 M32:M34 M36 M38:M40 M42:M43 M45 M47 M49 M51:M55 M95 M101 M97:M100 M102:M12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selection activeCell="M49" sqref="M49:M50"/>
    </sheetView>
  </sheetViews>
  <sheetFormatPr defaultRowHeight="15" x14ac:dyDescent="0.25"/>
  <cols>
    <col min="1" max="6" width="9.7109375" customWidth="1"/>
    <col min="7" max="15" width="8.85546875" customWidth="1"/>
  </cols>
  <sheetData>
    <row r="1" spans="1:15" x14ac:dyDescent="0.25">
      <c r="A1" s="1" t="s">
        <v>21</v>
      </c>
    </row>
    <row r="2" spans="1:15" x14ac:dyDescent="0.25">
      <c r="A2" t="s">
        <v>19</v>
      </c>
    </row>
    <row r="3" spans="1:15" x14ac:dyDescent="0.25">
      <c r="A3" t="s">
        <v>20</v>
      </c>
    </row>
    <row r="5" spans="1:15" ht="15" customHeight="1" x14ac:dyDescent="0.25">
      <c r="A5" s="70" t="s">
        <v>160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5" ht="15.75" thickBot="1" x14ac:dyDescent="0.3"/>
    <row r="7" spans="1:15" ht="15" customHeight="1" x14ac:dyDescent="0.25">
      <c r="A7" s="247" t="s">
        <v>11</v>
      </c>
      <c r="B7" s="248"/>
      <c r="C7" s="248"/>
      <c r="D7" s="248"/>
      <c r="E7" s="248"/>
      <c r="F7" s="249"/>
      <c r="G7" s="104" t="s">
        <v>156</v>
      </c>
      <c r="H7" s="105"/>
      <c r="I7" s="104" t="s">
        <v>157</v>
      </c>
      <c r="J7" s="105"/>
      <c r="K7" s="82" t="s">
        <v>158</v>
      </c>
      <c r="L7" s="82"/>
      <c r="M7" s="25" t="s">
        <v>50</v>
      </c>
    </row>
    <row r="8" spans="1:15" x14ac:dyDescent="0.25">
      <c r="A8" s="250"/>
      <c r="B8" s="251"/>
      <c r="C8" s="251"/>
      <c r="D8" s="251"/>
      <c r="E8" s="251"/>
      <c r="F8" s="252"/>
      <c r="G8" s="106"/>
      <c r="H8" s="107"/>
      <c r="I8" s="106"/>
      <c r="J8" s="107"/>
      <c r="K8" s="83"/>
      <c r="L8" s="83"/>
      <c r="M8" s="26" t="s">
        <v>163</v>
      </c>
    </row>
    <row r="9" spans="1:15" ht="15.75" thickBot="1" x14ac:dyDescent="0.3">
      <c r="A9" s="194">
        <v>1</v>
      </c>
      <c r="B9" s="195"/>
      <c r="C9" s="195"/>
      <c r="D9" s="195"/>
      <c r="E9" s="195"/>
      <c r="F9" s="196"/>
      <c r="G9" s="194">
        <v>2</v>
      </c>
      <c r="H9" s="195"/>
      <c r="I9" s="194">
        <v>3</v>
      </c>
      <c r="J9" s="195"/>
      <c r="K9" s="194">
        <v>4</v>
      </c>
      <c r="L9" s="196"/>
      <c r="M9" s="27">
        <v>5</v>
      </c>
    </row>
    <row r="10" spans="1:15" x14ac:dyDescent="0.25">
      <c r="A10" s="244" t="s">
        <v>22</v>
      </c>
      <c r="B10" s="245"/>
      <c r="C10" s="245"/>
      <c r="D10" s="245"/>
      <c r="E10" s="245"/>
      <c r="F10" s="246"/>
      <c r="G10" s="256">
        <f>G11+G48+G75+G80</f>
        <v>1552330.5299999998</v>
      </c>
      <c r="H10" s="256"/>
      <c r="I10" s="256">
        <f t="shared" ref="I10" si="0">I11+I48+I75+I80</f>
        <v>214584.24999999994</v>
      </c>
      <c r="J10" s="256"/>
      <c r="K10" s="256">
        <f t="shared" ref="K10" si="1">K11+K48+K75+K80</f>
        <v>1766914.78</v>
      </c>
      <c r="L10" s="256"/>
      <c r="M10" s="57">
        <f>K10/I10*100</f>
        <v>823.41307901208984</v>
      </c>
    </row>
    <row r="11" spans="1:15" x14ac:dyDescent="0.25">
      <c r="A11" s="261" t="s">
        <v>120</v>
      </c>
      <c r="B11" s="262"/>
      <c r="C11" s="262"/>
      <c r="D11" s="262"/>
      <c r="E11" s="262"/>
      <c r="F11" s="263"/>
      <c r="G11" s="257">
        <f>G12+G42</f>
        <v>1510816.0999999999</v>
      </c>
      <c r="H11" s="258"/>
      <c r="I11" s="257">
        <f t="shared" ref="I11" si="2">I12+I42</f>
        <v>176672.57999999996</v>
      </c>
      <c r="J11" s="258"/>
      <c r="K11" s="257">
        <f t="shared" ref="K11" si="3">K12+K42</f>
        <v>1687488.68</v>
      </c>
      <c r="L11" s="258"/>
      <c r="M11" s="58">
        <f>K11/G11*100</f>
        <v>111.69385076052605</v>
      </c>
      <c r="O11" s="36"/>
    </row>
    <row r="12" spans="1:15" x14ac:dyDescent="0.25">
      <c r="A12" s="237" t="s">
        <v>23</v>
      </c>
      <c r="B12" s="238"/>
      <c r="C12" s="238"/>
      <c r="D12" s="238"/>
      <c r="E12" s="238"/>
      <c r="F12" s="239"/>
      <c r="G12" s="240">
        <f>G14</f>
        <v>140983.97999999998</v>
      </c>
      <c r="H12" s="241"/>
      <c r="I12" s="240">
        <f>I14</f>
        <v>49804.7</v>
      </c>
      <c r="J12" s="241"/>
      <c r="K12" s="267">
        <f>K14</f>
        <v>190788.68000000002</v>
      </c>
      <c r="L12" s="268"/>
      <c r="M12" s="266">
        <f>K12/G12*100</f>
        <v>135.32649596074677</v>
      </c>
    </row>
    <row r="13" spans="1:15" x14ac:dyDescent="0.25">
      <c r="A13" s="237" t="s">
        <v>24</v>
      </c>
      <c r="B13" s="238"/>
      <c r="C13" s="238"/>
      <c r="D13" s="238"/>
      <c r="E13" s="238"/>
      <c r="F13" s="239"/>
      <c r="G13" s="219"/>
      <c r="H13" s="220"/>
      <c r="I13" s="219"/>
      <c r="J13" s="220"/>
      <c r="K13" s="267"/>
      <c r="L13" s="268"/>
      <c r="M13" s="266"/>
    </row>
    <row r="14" spans="1:15" x14ac:dyDescent="0.25">
      <c r="A14" s="40">
        <v>32</v>
      </c>
      <c r="B14" s="41" t="s">
        <v>108</v>
      </c>
      <c r="C14" s="41"/>
      <c r="D14" s="41"/>
      <c r="E14" s="41"/>
      <c r="F14" s="42"/>
      <c r="G14" s="259">
        <f>G15+G20+G27+G37</f>
        <v>140983.97999999998</v>
      </c>
      <c r="H14" s="260"/>
      <c r="I14" s="259">
        <f>I15+I20+I27+I37</f>
        <v>49804.7</v>
      </c>
      <c r="J14" s="260"/>
      <c r="K14" s="259">
        <f>K15+K20+K27+K37</f>
        <v>190788.68000000002</v>
      </c>
      <c r="L14" s="260"/>
      <c r="M14" s="59">
        <f t="shared" ref="M14:M41" si="4">K14/G14*100</f>
        <v>135.32649596074677</v>
      </c>
      <c r="O14" s="36"/>
    </row>
    <row r="15" spans="1:15" x14ac:dyDescent="0.25">
      <c r="A15" s="21">
        <v>321</v>
      </c>
      <c r="B15" s="5" t="s">
        <v>109</v>
      </c>
      <c r="C15" s="5"/>
      <c r="D15" s="5"/>
      <c r="E15" s="5"/>
      <c r="F15" s="13"/>
      <c r="G15" s="242">
        <f>SUM(G16:H19)</f>
        <v>40945.000000000007</v>
      </c>
      <c r="H15" s="243"/>
      <c r="I15" s="242">
        <f>SUM(I16:J19)</f>
        <v>8155</v>
      </c>
      <c r="J15" s="243"/>
      <c r="K15" s="242">
        <f>SUM(K16:L19)</f>
        <v>49100</v>
      </c>
      <c r="L15" s="243"/>
      <c r="M15" s="53">
        <f t="shared" si="4"/>
        <v>119.91696177799484</v>
      </c>
    </row>
    <row r="16" spans="1:15" x14ac:dyDescent="0.25">
      <c r="A16" s="12">
        <v>3211</v>
      </c>
      <c r="B16" s="4" t="s">
        <v>63</v>
      </c>
      <c r="C16" s="4"/>
      <c r="D16" s="4"/>
      <c r="E16" s="4"/>
      <c r="F16" s="13"/>
      <c r="G16" s="86">
        <v>6636.14</v>
      </c>
      <c r="H16" s="87"/>
      <c r="I16" s="86">
        <f>K16-G16</f>
        <v>5363.86</v>
      </c>
      <c r="J16" s="87"/>
      <c r="K16" s="86">
        <v>12000</v>
      </c>
      <c r="L16" s="87"/>
      <c r="M16" s="67">
        <f t="shared" si="4"/>
        <v>180.82801146449592</v>
      </c>
    </row>
    <row r="17" spans="1:13" x14ac:dyDescent="0.25">
      <c r="A17" s="12">
        <v>3212</v>
      </c>
      <c r="B17" s="4" t="s">
        <v>110</v>
      </c>
      <c r="C17" s="4"/>
      <c r="D17" s="4"/>
      <c r="E17" s="4"/>
      <c r="F17" s="13"/>
      <c r="G17" s="86">
        <v>32517.09</v>
      </c>
      <c r="H17" s="87"/>
      <c r="I17" s="86">
        <f t="shared" ref="I17:I19" si="5">K17-G17</f>
        <v>1782.9099999999999</v>
      </c>
      <c r="J17" s="87"/>
      <c r="K17" s="86">
        <v>34300</v>
      </c>
      <c r="L17" s="87"/>
      <c r="M17" s="67">
        <f t="shared" si="4"/>
        <v>105.48299371192194</v>
      </c>
    </row>
    <row r="18" spans="1:13" x14ac:dyDescent="0.25">
      <c r="A18" s="12">
        <v>3213</v>
      </c>
      <c r="B18" s="4" t="s">
        <v>65</v>
      </c>
      <c r="C18" s="4"/>
      <c r="D18" s="4"/>
      <c r="E18" s="4"/>
      <c r="F18" s="13"/>
      <c r="G18" s="86">
        <v>1260.8699999999999</v>
      </c>
      <c r="H18" s="87"/>
      <c r="I18" s="86">
        <f t="shared" si="5"/>
        <v>39.130000000000109</v>
      </c>
      <c r="J18" s="87"/>
      <c r="K18" s="86">
        <v>1300</v>
      </c>
      <c r="L18" s="87"/>
      <c r="M18" s="67">
        <f t="shared" si="4"/>
        <v>103.10341272296112</v>
      </c>
    </row>
    <row r="19" spans="1:13" x14ac:dyDescent="0.25">
      <c r="A19" s="12">
        <v>3214</v>
      </c>
      <c r="B19" s="4" t="s">
        <v>100</v>
      </c>
      <c r="C19" s="4"/>
      <c r="D19" s="4"/>
      <c r="E19" s="4"/>
      <c r="F19" s="13"/>
      <c r="G19" s="86">
        <v>530.9</v>
      </c>
      <c r="H19" s="87"/>
      <c r="I19" s="86">
        <f t="shared" si="5"/>
        <v>969.1</v>
      </c>
      <c r="J19" s="87"/>
      <c r="K19" s="86">
        <v>1500</v>
      </c>
      <c r="L19" s="87"/>
      <c r="M19" s="67">
        <f t="shared" si="4"/>
        <v>282.53908457336598</v>
      </c>
    </row>
    <row r="20" spans="1:13" x14ac:dyDescent="0.25">
      <c r="A20" s="21">
        <v>322</v>
      </c>
      <c r="B20" s="5" t="s">
        <v>108</v>
      </c>
      <c r="C20" s="5"/>
      <c r="D20" s="5"/>
      <c r="E20" s="5"/>
      <c r="F20" s="22"/>
      <c r="G20" s="242">
        <f>SUM(G21:H26)</f>
        <v>69148.62</v>
      </c>
      <c r="H20" s="243"/>
      <c r="I20" s="242">
        <f>SUM(I21:J26)</f>
        <v>31681.64</v>
      </c>
      <c r="J20" s="243"/>
      <c r="K20" s="242">
        <f>SUM(K21:L26)</f>
        <v>100830.26</v>
      </c>
      <c r="L20" s="243"/>
      <c r="M20" s="53">
        <f t="shared" si="4"/>
        <v>145.81673502667155</v>
      </c>
    </row>
    <row r="21" spans="1:13" x14ac:dyDescent="0.25">
      <c r="A21" s="12">
        <v>3221</v>
      </c>
      <c r="B21" s="4" t="s">
        <v>67</v>
      </c>
      <c r="C21" s="4"/>
      <c r="D21" s="4"/>
      <c r="E21" s="4"/>
      <c r="F21" s="13"/>
      <c r="G21" s="86">
        <v>10617.83</v>
      </c>
      <c r="H21" s="87"/>
      <c r="I21" s="86">
        <f>K21-G21</f>
        <v>3382.17</v>
      </c>
      <c r="J21" s="87"/>
      <c r="K21" s="86">
        <v>14000</v>
      </c>
      <c r="L21" s="87"/>
      <c r="M21" s="67">
        <f t="shared" si="4"/>
        <v>131.85368385065499</v>
      </c>
    </row>
    <row r="22" spans="1:13" x14ac:dyDescent="0.25">
      <c r="A22" s="12">
        <v>3222</v>
      </c>
      <c r="B22" s="4" t="s">
        <v>111</v>
      </c>
      <c r="C22" s="4"/>
      <c r="D22" s="4"/>
      <c r="E22" s="4"/>
      <c r="F22" s="13"/>
      <c r="G22" s="86">
        <v>19908.43</v>
      </c>
      <c r="H22" s="87"/>
      <c r="I22" s="86">
        <f t="shared" ref="I22:I26" si="6">K22-G22</f>
        <v>91.569999999999709</v>
      </c>
      <c r="J22" s="87"/>
      <c r="K22" s="86">
        <v>20000</v>
      </c>
      <c r="L22" s="87"/>
      <c r="M22" s="67">
        <f t="shared" si="4"/>
        <v>100.45995590812535</v>
      </c>
    </row>
    <row r="23" spans="1:13" x14ac:dyDescent="0.25">
      <c r="A23" s="12">
        <v>3223</v>
      </c>
      <c r="B23" s="4" t="s">
        <v>68</v>
      </c>
      <c r="C23" s="4"/>
      <c r="D23" s="4"/>
      <c r="E23" s="4"/>
      <c r="F23" s="13"/>
      <c r="G23" s="86">
        <v>33180.71</v>
      </c>
      <c r="H23" s="87"/>
      <c r="I23" s="86">
        <f t="shared" si="6"/>
        <v>26819.29</v>
      </c>
      <c r="J23" s="87"/>
      <c r="K23" s="86">
        <v>60000</v>
      </c>
      <c r="L23" s="87"/>
      <c r="M23" s="67">
        <f t="shared" si="4"/>
        <v>180.82795696656279</v>
      </c>
    </row>
    <row r="24" spans="1:13" x14ac:dyDescent="0.25">
      <c r="A24" s="12">
        <v>3224</v>
      </c>
      <c r="B24" s="4" t="s">
        <v>112</v>
      </c>
      <c r="C24" s="4"/>
      <c r="D24" s="4"/>
      <c r="E24" s="4"/>
      <c r="F24" s="13"/>
      <c r="G24" s="86">
        <v>4645.3</v>
      </c>
      <c r="H24" s="87"/>
      <c r="I24" s="86">
        <f t="shared" si="6"/>
        <v>1354.6999999999998</v>
      </c>
      <c r="J24" s="87"/>
      <c r="K24" s="86">
        <v>6000</v>
      </c>
      <c r="L24" s="87"/>
      <c r="M24" s="67">
        <f t="shared" si="4"/>
        <v>129.16280972165416</v>
      </c>
    </row>
    <row r="25" spans="1:13" x14ac:dyDescent="0.25">
      <c r="A25" s="12">
        <v>3225</v>
      </c>
      <c r="B25" s="4" t="s">
        <v>70</v>
      </c>
      <c r="C25" s="4"/>
      <c r="D25" s="4"/>
      <c r="E25" s="4"/>
      <c r="F25" s="13"/>
      <c r="G25" s="86">
        <v>265.45</v>
      </c>
      <c r="H25" s="87"/>
      <c r="I25" s="86">
        <f t="shared" si="6"/>
        <v>34.550000000000011</v>
      </c>
      <c r="J25" s="87"/>
      <c r="K25" s="86">
        <v>300</v>
      </c>
      <c r="L25" s="87"/>
      <c r="M25" s="67">
        <f t="shared" si="4"/>
        <v>113.01563382934641</v>
      </c>
    </row>
    <row r="26" spans="1:13" x14ac:dyDescent="0.25">
      <c r="A26" s="12">
        <v>3227</v>
      </c>
      <c r="B26" s="4" t="s">
        <v>71</v>
      </c>
      <c r="C26" s="4"/>
      <c r="D26" s="4"/>
      <c r="E26" s="4"/>
      <c r="F26" s="13"/>
      <c r="G26" s="86">
        <v>530.9</v>
      </c>
      <c r="H26" s="87"/>
      <c r="I26" s="86">
        <f t="shared" si="6"/>
        <v>-0.63999999999998636</v>
      </c>
      <c r="J26" s="87"/>
      <c r="K26" s="86">
        <v>530.26</v>
      </c>
      <c r="L26" s="87"/>
      <c r="M26" s="67">
        <f t="shared" si="4"/>
        <v>99.879449990582032</v>
      </c>
    </row>
    <row r="27" spans="1:13" x14ac:dyDescent="0.25">
      <c r="A27" s="21">
        <v>323</v>
      </c>
      <c r="B27" s="5" t="s">
        <v>113</v>
      </c>
      <c r="C27" s="5"/>
      <c r="D27" s="5"/>
      <c r="E27" s="5"/>
      <c r="F27" s="22"/>
      <c r="G27" s="242">
        <f>SUM(G28:H36)</f>
        <v>27128.579999999998</v>
      </c>
      <c r="H27" s="243"/>
      <c r="I27" s="242">
        <f>SUM(I28:J36)</f>
        <v>7198.8599999999988</v>
      </c>
      <c r="J27" s="243"/>
      <c r="K27" s="242">
        <f>SUM(K28:L36)</f>
        <v>34327.440000000002</v>
      </c>
      <c r="L27" s="243"/>
      <c r="M27" s="53">
        <f t="shared" si="4"/>
        <v>126.53607376427371</v>
      </c>
    </row>
    <row r="28" spans="1:13" x14ac:dyDescent="0.25">
      <c r="A28" s="12">
        <v>3231</v>
      </c>
      <c r="B28" s="4" t="s">
        <v>73</v>
      </c>
      <c r="C28" s="4"/>
      <c r="D28" s="4"/>
      <c r="E28" s="4"/>
      <c r="F28" s="13"/>
      <c r="G28" s="86">
        <v>3716.24</v>
      </c>
      <c r="H28" s="87"/>
      <c r="I28" s="86">
        <f>K28-G28</f>
        <v>1783.7600000000002</v>
      </c>
      <c r="J28" s="87"/>
      <c r="K28" s="86">
        <v>5500</v>
      </c>
      <c r="L28" s="87"/>
      <c r="M28" s="67">
        <f t="shared" si="4"/>
        <v>147.99905280606205</v>
      </c>
    </row>
    <row r="29" spans="1:13" x14ac:dyDescent="0.25">
      <c r="A29" s="12">
        <v>3232</v>
      </c>
      <c r="B29" s="4" t="s">
        <v>74</v>
      </c>
      <c r="C29" s="4"/>
      <c r="D29" s="4"/>
      <c r="E29" s="4"/>
      <c r="F29" s="13"/>
      <c r="G29" s="86">
        <v>3981.69</v>
      </c>
      <c r="H29" s="87"/>
      <c r="I29" s="86">
        <f t="shared" ref="I29:I36" si="7">K29-G29</f>
        <v>1418.31</v>
      </c>
      <c r="J29" s="87"/>
      <c r="K29" s="86">
        <v>5400</v>
      </c>
      <c r="L29" s="87"/>
      <c r="M29" s="67">
        <f t="shared" si="4"/>
        <v>135.62080423136908</v>
      </c>
    </row>
    <row r="30" spans="1:13" x14ac:dyDescent="0.25">
      <c r="A30" s="12">
        <v>3233</v>
      </c>
      <c r="B30" s="4" t="s">
        <v>103</v>
      </c>
      <c r="C30" s="4"/>
      <c r="D30" s="4"/>
      <c r="E30" s="4"/>
      <c r="F30" s="13"/>
      <c r="G30" s="86">
        <v>132.72999999999999</v>
      </c>
      <c r="H30" s="87"/>
      <c r="I30" s="86">
        <f t="shared" si="7"/>
        <v>-5.289999999999992</v>
      </c>
      <c r="J30" s="87"/>
      <c r="K30" s="86">
        <v>127.44</v>
      </c>
      <c r="L30" s="87"/>
      <c r="M30" s="67">
        <f t="shared" si="4"/>
        <v>96.014465456189257</v>
      </c>
    </row>
    <row r="31" spans="1:13" x14ac:dyDescent="0.25">
      <c r="A31" s="12">
        <v>3234</v>
      </c>
      <c r="B31" s="4" t="s">
        <v>102</v>
      </c>
      <c r="C31" s="4"/>
      <c r="D31" s="4"/>
      <c r="E31" s="4"/>
      <c r="F31" s="13"/>
      <c r="G31" s="86">
        <v>7299.76</v>
      </c>
      <c r="H31" s="87"/>
      <c r="I31" s="86">
        <f t="shared" si="7"/>
        <v>200.23999999999978</v>
      </c>
      <c r="J31" s="87"/>
      <c r="K31" s="86">
        <v>7500</v>
      </c>
      <c r="L31" s="87"/>
      <c r="M31" s="67">
        <f t="shared" si="4"/>
        <v>102.74310388286739</v>
      </c>
    </row>
    <row r="32" spans="1:13" x14ac:dyDescent="0.25">
      <c r="A32" s="12">
        <v>3235</v>
      </c>
      <c r="B32" s="4" t="s">
        <v>75</v>
      </c>
      <c r="C32" s="4"/>
      <c r="D32" s="4"/>
      <c r="E32" s="4"/>
      <c r="F32" s="13"/>
      <c r="G32" s="86">
        <v>1061.79</v>
      </c>
      <c r="H32" s="87"/>
      <c r="I32" s="86">
        <f t="shared" si="7"/>
        <v>738.21</v>
      </c>
      <c r="J32" s="87"/>
      <c r="K32" s="86">
        <v>1800</v>
      </c>
      <c r="L32" s="87"/>
      <c r="M32" s="67">
        <f t="shared" si="4"/>
        <v>169.52504732574238</v>
      </c>
    </row>
    <row r="33" spans="1:13" x14ac:dyDescent="0.25">
      <c r="A33" s="12">
        <v>3236</v>
      </c>
      <c r="B33" s="4" t="s">
        <v>76</v>
      </c>
      <c r="C33" s="4"/>
      <c r="D33" s="4"/>
      <c r="E33" s="4"/>
      <c r="F33" s="13"/>
      <c r="G33" s="86">
        <v>4300.22</v>
      </c>
      <c r="H33" s="87"/>
      <c r="I33" s="86">
        <f t="shared" si="7"/>
        <v>-0.22000000000025466</v>
      </c>
      <c r="J33" s="87"/>
      <c r="K33" s="86">
        <v>4300</v>
      </c>
      <c r="L33" s="87"/>
      <c r="M33" s="67">
        <f t="shared" si="4"/>
        <v>99.994883982679951</v>
      </c>
    </row>
    <row r="34" spans="1:13" x14ac:dyDescent="0.25">
      <c r="A34" s="12">
        <v>3237</v>
      </c>
      <c r="B34" s="4" t="s">
        <v>77</v>
      </c>
      <c r="C34" s="4"/>
      <c r="D34" s="4"/>
      <c r="E34" s="4"/>
      <c r="F34" s="13"/>
      <c r="G34" s="86">
        <v>2654.46</v>
      </c>
      <c r="H34" s="87"/>
      <c r="I34" s="86">
        <f t="shared" si="7"/>
        <v>45.539999999999964</v>
      </c>
      <c r="J34" s="87"/>
      <c r="K34" s="86">
        <v>2700</v>
      </c>
      <c r="L34" s="87"/>
      <c r="M34" s="67">
        <f t="shared" si="4"/>
        <v>101.71560317352682</v>
      </c>
    </row>
    <row r="35" spans="1:13" x14ac:dyDescent="0.25">
      <c r="A35" s="12">
        <v>3238</v>
      </c>
      <c r="B35" s="4" t="s">
        <v>78</v>
      </c>
      <c r="C35" s="4"/>
      <c r="D35" s="4"/>
      <c r="E35" s="4"/>
      <c r="F35" s="13"/>
      <c r="G35" s="86">
        <v>2654.46</v>
      </c>
      <c r="H35" s="87"/>
      <c r="I35" s="86">
        <f t="shared" si="7"/>
        <v>2345.54</v>
      </c>
      <c r="J35" s="87"/>
      <c r="K35" s="86">
        <v>5000</v>
      </c>
      <c r="L35" s="87"/>
      <c r="M35" s="67">
        <f t="shared" si="4"/>
        <v>188.36222809912374</v>
      </c>
    </row>
    <row r="36" spans="1:13" x14ac:dyDescent="0.25">
      <c r="A36" s="12">
        <v>3239</v>
      </c>
      <c r="B36" s="4" t="s">
        <v>79</v>
      </c>
      <c r="C36" s="4"/>
      <c r="D36" s="4"/>
      <c r="E36" s="4"/>
      <c r="F36" s="13"/>
      <c r="G36" s="86">
        <v>1327.23</v>
      </c>
      <c r="H36" s="87"/>
      <c r="I36" s="86">
        <f t="shared" si="7"/>
        <v>672.77</v>
      </c>
      <c r="J36" s="87"/>
      <c r="K36" s="86">
        <v>2000</v>
      </c>
      <c r="L36" s="87"/>
      <c r="M36" s="67">
        <f t="shared" si="4"/>
        <v>150.68978247929897</v>
      </c>
    </row>
    <row r="37" spans="1:13" x14ac:dyDescent="0.25">
      <c r="A37" s="21">
        <v>329</v>
      </c>
      <c r="B37" s="5" t="s">
        <v>116</v>
      </c>
      <c r="C37" s="5"/>
      <c r="D37" s="5"/>
      <c r="E37" s="5"/>
      <c r="F37" s="22"/>
      <c r="G37" s="242">
        <f>SUM(G38:H41)</f>
        <v>3761.7799999999997</v>
      </c>
      <c r="H37" s="243"/>
      <c r="I37" s="242">
        <f>SUM(I38:J41)</f>
        <v>2769.2</v>
      </c>
      <c r="J37" s="243"/>
      <c r="K37" s="242">
        <f>SUM(K38:L41)</f>
        <v>6530.98</v>
      </c>
      <c r="L37" s="243"/>
      <c r="M37" s="53">
        <f t="shared" si="4"/>
        <v>173.61408694820005</v>
      </c>
    </row>
    <row r="38" spans="1:13" x14ac:dyDescent="0.25">
      <c r="A38" s="12">
        <v>3292</v>
      </c>
      <c r="B38" s="4" t="s">
        <v>82</v>
      </c>
      <c r="C38" s="4"/>
      <c r="D38" s="4"/>
      <c r="E38" s="4"/>
      <c r="F38" s="13"/>
      <c r="G38" s="86">
        <v>530.9</v>
      </c>
      <c r="H38" s="87"/>
      <c r="I38" s="86">
        <f>K38-G38</f>
        <v>0</v>
      </c>
      <c r="J38" s="87"/>
      <c r="K38" s="86">
        <v>530.9</v>
      </c>
      <c r="L38" s="87"/>
      <c r="M38" s="67">
        <f t="shared" si="4"/>
        <v>100</v>
      </c>
    </row>
    <row r="39" spans="1:13" x14ac:dyDescent="0.25">
      <c r="A39" s="12">
        <v>3293</v>
      </c>
      <c r="B39" s="4" t="s">
        <v>83</v>
      </c>
      <c r="C39" s="4"/>
      <c r="D39" s="4"/>
      <c r="E39" s="4"/>
      <c r="F39" s="13"/>
      <c r="G39" s="86">
        <v>398.18</v>
      </c>
      <c r="H39" s="87"/>
      <c r="I39" s="86">
        <f t="shared" ref="I39:I41" si="8">K39-G39</f>
        <v>1.8199999999999932</v>
      </c>
      <c r="J39" s="87"/>
      <c r="K39" s="86">
        <v>400</v>
      </c>
      <c r="L39" s="87"/>
      <c r="M39" s="67">
        <f t="shared" si="4"/>
        <v>100.45707971269276</v>
      </c>
    </row>
    <row r="40" spans="1:13" x14ac:dyDescent="0.25">
      <c r="A40" s="12">
        <v>3294</v>
      </c>
      <c r="B40" s="4" t="s">
        <v>84</v>
      </c>
      <c r="C40" s="4"/>
      <c r="D40" s="4"/>
      <c r="E40" s="4"/>
      <c r="F40" s="13"/>
      <c r="G40" s="86">
        <v>66.37</v>
      </c>
      <c r="H40" s="87"/>
      <c r="I40" s="86">
        <f t="shared" si="8"/>
        <v>3.6299999999999955</v>
      </c>
      <c r="J40" s="87"/>
      <c r="K40" s="86">
        <v>70</v>
      </c>
      <c r="L40" s="87"/>
      <c r="M40" s="67">
        <f t="shared" si="4"/>
        <v>105.46933855657676</v>
      </c>
    </row>
    <row r="41" spans="1:13" x14ac:dyDescent="0.25">
      <c r="A41" s="12">
        <v>3299</v>
      </c>
      <c r="B41" s="4" t="s">
        <v>80</v>
      </c>
      <c r="C41" s="4"/>
      <c r="D41" s="4"/>
      <c r="E41" s="4"/>
      <c r="F41" s="13"/>
      <c r="G41" s="86">
        <v>2766.33</v>
      </c>
      <c r="H41" s="87"/>
      <c r="I41" s="86">
        <f t="shared" si="8"/>
        <v>2763.75</v>
      </c>
      <c r="J41" s="87"/>
      <c r="K41" s="86">
        <v>5530.08</v>
      </c>
      <c r="L41" s="87"/>
      <c r="M41" s="67">
        <f t="shared" si="4"/>
        <v>199.90673563891511</v>
      </c>
    </row>
    <row r="42" spans="1:13" x14ac:dyDescent="0.25">
      <c r="A42" s="225" t="s">
        <v>117</v>
      </c>
      <c r="B42" s="226"/>
      <c r="C42" s="226"/>
      <c r="D42" s="226"/>
      <c r="E42" s="226"/>
      <c r="F42" s="227"/>
      <c r="G42" s="264">
        <f t="shared" ref="G42" si="9">SUM(G44:H47)</f>
        <v>1369832.1199999999</v>
      </c>
      <c r="H42" s="265"/>
      <c r="I42" s="219">
        <f>SUM(I44:J47)</f>
        <v>126867.87999999998</v>
      </c>
      <c r="J42" s="220"/>
      <c r="K42" s="219">
        <f t="shared" ref="K42" si="10">SUM(K44:L47)</f>
        <v>1496700</v>
      </c>
      <c r="L42" s="220"/>
      <c r="M42" s="217">
        <f t="shared" ref="M42:M63" si="11">K42/G42*100</f>
        <v>109.26156411049845</v>
      </c>
    </row>
    <row r="43" spans="1:13" x14ac:dyDescent="0.25">
      <c r="A43" s="237" t="s">
        <v>118</v>
      </c>
      <c r="B43" s="238"/>
      <c r="C43" s="238"/>
      <c r="D43" s="238"/>
      <c r="E43" s="238"/>
      <c r="F43" s="239"/>
      <c r="G43" s="219"/>
      <c r="H43" s="220"/>
      <c r="I43" s="267"/>
      <c r="J43" s="268"/>
      <c r="K43" s="267"/>
      <c r="L43" s="268"/>
      <c r="M43" s="266" t="e">
        <f t="shared" si="11"/>
        <v>#DIV/0!</v>
      </c>
    </row>
    <row r="44" spans="1:13" x14ac:dyDescent="0.25">
      <c r="A44" s="11">
        <v>3111</v>
      </c>
      <c r="B44" s="43" t="s">
        <v>57</v>
      </c>
      <c r="C44" s="43"/>
      <c r="D44" s="43"/>
      <c r="E44" s="43"/>
      <c r="F44" s="44"/>
      <c r="G44" s="221">
        <v>1088327.03</v>
      </c>
      <c r="H44" s="222"/>
      <c r="I44" s="221">
        <f>K44-G44</f>
        <v>151672.96999999997</v>
      </c>
      <c r="J44" s="222"/>
      <c r="K44" s="221">
        <v>1240000</v>
      </c>
      <c r="L44" s="222"/>
      <c r="M44" s="60">
        <f t="shared" si="11"/>
        <v>113.93634135871824</v>
      </c>
    </row>
    <row r="45" spans="1:13" x14ac:dyDescent="0.25">
      <c r="A45" s="12">
        <v>3212</v>
      </c>
      <c r="B45" s="4" t="s">
        <v>58</v>
      </c>
      <c r="C45" s="4"/>
      <c r="D45" s="4"/>
      <c r="E45" s="4"/>
      <c r="F45" s="22"/>
      <c r="G45" s="86">
        <v>59725.27</v>
      </c>
      <c r="H45" s="87"/>
      <c r="I45" s="86">
        <f t="shared" ref="I45:I47" si="12">K45-G45</f>
        <v>-9725.2699999999968</v>
      </c>
      <c r="J45" s="87"/>
      <c r="K45" s="86">
        <v>50000</v>
      </c>
      <c r="L45" s="87"/>
      <c r="M45" s="54">
        <f t="shared" si="11"/>
        <v>83.716657957343685</v>
      </c>
    </row>
    <row r="46" spans="1:13" x14ac:dyDescent="0.25">
      <c r="A46" s="12">
        <v>3132</v>
      </c>
      <c r="B46" s="4" t="s">
        <v>115</v>
      </c>
      <c r="C46" s="4"/>
      <c r="D46" s="4"/>
      <c r="E46" s="4"/>
      <c r="F46" s="22"/>
      <c r="G46" s="86">
        <v>218992.64000000001</v>
      </c>
      <c r="H46" s="87"/>
      <c r="I46" s="86">
        <f t="shared" si="12"/>
        <v>-13992.640000000014</v>
      </c>
      <c r="J46" s="87"/>
      <c r="K46" s="86">
        <v>205000</v>
      </c>
      <c r="L46" s="87"/>
      <c r="M46" s="54">
        <f t="shared" si="11"/>
        <v>93.610451931169919</v>
      </c>
    </row>
    <row r="47" spans="1:13" x14ac:dyDescent="0.25">
      <c r="A47" s="12">
        <v>3295</v>
      </c>
      <c r="B47" s="4" t="s">
        <v>119</v>
      </c>
      <c r="C47" s="4"/>
      <c r="D47" s="4"/>
      <c r="E47" s="4"/>
      <c r="F47" s="22"/>
      <c r="G47" s="86">
        <v>2787.18</v>
      </c>
      <c r="H47" s="87"/>
      <c r="I47" s="86">
        <f t="shared" si="12"/>
        <v>-1087.1799999999998</v>
      </c>
      <c r="J47" s="87"/>
      <c r="K47" s="86">
        <v>1700</v>
      </c>
      <c r="L47" s="87"/>
      <c r="M47" s="54">
        <f t="shared" si="11"/>
        <v>60.99354903522557</v>
      </c>
    </row>
    <row r="48" spans="1:13" x14ac:dyDescent="0.25">
      <c r="A48" s="234" t="s">
        <v>121</v>
      </c>
      <c r="B48" s="235"/>
      <c r="C48" s="235"/>
      <c r="D48" s="235"/>
      <c r="E48" s="235"/>
      <c r="F48" s="236"/>
      <c r="G48" s="232">
        <f>G49</f>
        <v>24421.03</v>
      </c>
      <c r="H48" s="233"/>
      <c r="I48" s="232">
        <f t="shared" ref="I48" si="13">I49</f>
        <v>39415.46</v>
      </c>
      <c r="J48" s="233"/>
      <c r="K48" s="232">
        <f t="shared" ref="K48" si="14">K49</f>
        <v>63836.490000000005</v>
      </c>
      <c r="L48" s="233"/>
      <c r="M48" s="61">
        <f t="shared" si="11"/>
        <v>261.3996625039976</v>
      </c>
    </row>
    <row r="49" spans="1:13" x14ac:dyDescent="0.25">
      <c r="A49" s="225" t="s">
        <v>122</v>
      </c>
      <c r="B49" s="226"/>
      <c r="C49" s="226"/>
      <c r="D49" s="226"/>
      <c r="E49" s="226"/>
      <c r="F49" s="227"/>
      <c r="G49" s="219">
        <f>G51+G54+G56+G62+G64+G66</f>
        <v>24421.03</v>
      </c>
      <c r="H49" s="220"/>
      <c r="I49" s="219">
        <f t="shared" ref="I49" si="15">I51+I54+I56+I62+I64+I66</f>
        <v>39415.46</v>
      </c>
      <c r="J49" s="220"/>
      <c r="K49" s="219">
        <f t="shared" ref="K49" si="16">K51+K54+K56+K62+K64+K66</f>
        <v>63836.490000000005</v>
      </c>
      <c r="L49" s="220"/>
      <c r="M49" s="217">
        <f t="shared" si="11"/>
        <v>261.3996625039976</v>
      </c>
    </row>
    <row r="50" spans="1:13" x14ac:dyDescent="0.25">
      <c r="A50" s="237"/>
      <c r="B50" s="238"/>
      <c r="C50" s="238"/>
      <c r="D50" s="238"/>
      <c r="E50" s="238"/>
      <c r="F50" s="239"/>
      <c r="G50" s="240"/>
      <c r="H50" s="241"/>
      <c r="I50" s="240"/>
      <c r="J50" s="241"/>
      <c r="K50" s="240"/>
      <c r="L50" s="241"/>
      <c r="M50" s="218"/>
    </row>
    <row r="51" spans="1:13" x14ac:dyDescent="0.25">
      <c r="A51" s="225" t="s">
        <v>129</v>
      </c>
      <c r="B51" s="226"/>
      <c r="C51" s="226"/>
      <c r="D51" s="226"/>
      <c r="E51" s="226"/>
      <c r="F51" s="227"/>
      <c r="G51" s="219">
        <f>G52+G53</f>
        <v>1592.68</v>
      </c>
      <c r="H51" s="220"/>
      <c r="I51" s="219">
        <f t="shared" ref="I51" si="17">I52+I53</f>
        <v>1407.32</v>
      </c>
      <c r="J51" s="220"/>
      <c r="K51" s="219">
        <f t="shared" ref="K51" si="18">K52+K53</f>
        <v>3000</v>
      </c>
      <c r="L51" s="220"/>
      <c r="M51" s="73">
        <f t="shared" si="11"/>
        <v>188.36175502925886</v>
      </c>
    </row>
    <row r="52" spans="1:13" x14ac:dyDescent="0.25">
      <c r="A52" s="29">
        <v>3222</v>
      </c>
      <c r="B52" s="3" t="s">
        <v>101</v>
      </c>
      <c r="C52" s="3"/>
      <c r="D52" s="3"/>
      <c r="E52" s="3"/>
      <c r="F52" s="30"/>
      <c r="G52" s="221">
        <v>796.34</v>
      </c>
      <c r="H52" s="222"/>
      <c r="I52" s="221">
        <f>K52-G52</f>
        <v>703.66</v>
      </c>
      <c r="J52" s="222"/>
      <c r="K52" s="221">
        <v>1500</v>
      </c>
      <c r="L52" s="222"/>
      <c r="M52" s="60">
        <f t="shared" si="11"/>
        <v>188.36175502925886</v>
      </c>
    </row>
    <row r="53" spans="1:13" x14ac:dyDescent="0.25">
      <c r="A53" s="12">
        <v>4221</v>
      </c>
      <c r="B53" s="4" t="s">
        <v>114</v>
      </c>
      <c r="C53" s="4"/>
      <c r="D53" s="4"/>
      <c r="E53" s="4"/>
      <c r="F53" s="22"/>
      <c r="G53" s="86">
        <v>796.34</v>
      </c>
      <c r="H53" s="87"/>
      <c r="I53" s="86">
        <f t="shared" ref="I53" si="19">K53-G53</f>
        <v>703.66</v>
      </c>
      <c r="J53" s="87"/>
      <c r="K53" s="86">
        <v>1500</v>
      </c>
      <c r="L53" s="87"/>
      <c r="M53" s="54">
        <f t="shared" si="11"/>
        <v>188.36175502925886</v>
      </c>
    </row>
    <row r="54" spans="1:13" x14ac:dyDescent="0.25">
      <c r="A54" s="225" t="s">
        <v>127</v>
      </c>
      <c r="B54" s="226"/>
      <c r="C54" s="226"/>
      <c r="D54" s="226"/>
      <c r="E54" s="226"/>
      <c r="F54" s="227"/>
      <c r="G54" s="219">
        <f>G55</f>
        <v>1061.79</v>
      </c>
      <c r="H54" s="220"/>
      <c r="I54" s="219">
        <f>I55</f>
        <v>-461.78999999999996</v>
      </c>
      <c r="J54" s="220"/>
      <c r="K54" s="219">
        <f t="shared" ref="K54" si="20">K55</f>
        <v>600</v>
      </c>
      <c r="L54" s="220"/>
      <c r="M54" s="62">
        <f t="shared" si="11"/>
        <v>56.508349108580788</v>
      </c>
    </row>
    <row r="55" spans="1:13" x14ac:dyDescent="0.25">
      <c r="A55" s="29">
        <v>3221</v>
      </c>
      <c r="B55" s="3" t="s">
        <v>67</v>
      </c>
      <c r="C55" s="3"/>
      <c r="D55" s="3"/>
      <c r="E55" s="3"/>
      <c r="F55" s="30"/>
      <c r="G55" s="230">
        <v>1061.79</v>
      </c>
      <c r="H55" s="231"/>
      <c r="I55" s="221">
        <f>K55-G55</f>
        <v>-461.78999999999996</v>
      </c>
      <c r="J55" s="222"/>
      <c r="K55" s="221">
        <v>600</v>
      </c>
      <c r="L55" s="222"/>
      <c r="M55" s="60">
        <f t="shared" si="11"/>
        <v>56.508349108580788</v>
      </c>
    </row>
    <row r="56" spans="1:13" x14ac:dyDescent="0.25">
      <c r="A56" s="225" t="s">
        <v>123</v>
      </c>
      <c r="B56" s="226"/>
      <c r="C56" s="226"/>
      <c r="D56" s="226"/>
      <c r="E56" s="226"/>
      <c r="F56" s="227"/>
      <c r="G56" s="219">
        <f>SUM(G57:H61)</f>
        <v>16988.53</v>
      </c>
      <c r="H56" s="220"/>
      <c r="I56" s="219">
        <f>SUM(I57:J61)</f>
        <v>23172.87</v>
      </c>
      <c r="J56" s="220"/>
      <c r="K56" s="219">
        <f>SUM(K57:L61)</f>
        <v>40161.4</v>
      </c>
      <c r="L56" s="220"/>
      <c r="M56" s="62">
        <f t="shared" si="11"/>
        <v>236.40303192801264</v>
      </c>
    </row>
    <row r="57" spans="1:13" x14ac:dyDescent="0.25">
      <c r="A57" s="29">
        <v>3111</v>
      </c>
      <c r="B57" s="3" t="s">
        <v>124</v>
      </c>
      <c r="C57" s="3"/>
      <c r="D57" s="3"/>
      <c r="E57" s="3"/>
      <c r="F57" s="30"/>
      <c r="G57" s="221"/>
      <c r="H57" s="222"/>
      <c r="I57" s="221">
        <f>K57-G57</f>
        <v>11147.39</v>
      </c>
      <c r="J57" s="222"/>
      <c r="K57" s="221">
        <v>11147.39</v>
      </c>
      <c r="L57" s="222"/>
      <c r="M57" s="60" t="e">
        <f t="shared" si="11"/>
        <v>#DIV/0!</v>
      </c>
    </row>
    <row r="58" spans="1:13" x14ac:dyDescent="0.25">
      <c r="A58" s="12">
        <v>3231</v>
      </c>
      <c r="B58" s="4" t="s">
        <v>73</v>
      </c>
      <c r="C58" s="4"/>
      <c r="D58" s="4"/>
      <c r="E58" s="4"/>
      <c r="F58" s="13"/>
      <c r="G58" s="86">
        <v>15926.74</v>
      </c>
      <c r="H58" s="87"/>
      <c r="I58" s="86">
        <f t="shared" ref="I58" si="21">K58-G58</f>
        <v>9073.26</v>
      </c>
      <c r="J58" s="87"/>
      <c r="K58" s="86">
        <v>25000</v>
      </c>
      <c r="L58" s="87"/>
      <c r="M58" s="54">
        <f t="shared" si="11"/>
        <v>156.96872052912272</v>
      </c>
    </row>
    <row r="59" spans="1:13" x14ac:dyDescent="0.25">
      <c r="A59" s="12">
        <v>3291</v>
      </c>
      <c r="B59" s="4" t="s">
        <v>125</v>
      </c>
      <c r="C59" s="4"/>
      <c r="D59" s="4"/>
      <c r="E59" s="4"/>
      <c r="F59" s="13"/>
      <c r="G59" s="86">
        <v>132.72999999999999</v>
      </c>
      <c r="H59" s="87"/>
      <c r="I59" s="86">
        <f t="shared" ref="I59" si="22">K59-G59</f>
        <v>17.27000000000001</v>
      </c>
      <c r="J59" s="87"/>
      <c r="K59" s="86">
        <v>150</v>
      </c>
      <c r="L59" s="87"/>
      <c r="M59" s="54">
        <f t="shared" si="11"/>
        <v>113.01137647856552</v>
      </c>
    </row>
    <row r="60" spans="1:13" x14ac:dyDescent="0.25">
      <c r="A60" s="12">
        <v>3291</v>
      </c>
      <c r="B60" s="4" t="s">
        <v>86</v>
      </c>
      <c r="C60" s="4"/>
      <c r="D60" s="4"/>
      <c r="E60" s="4"/>
      <c r="F60" s="13"/>
      <c r="G60" s="86"/>
      <c r="H60" s="87"/>
      <c r="I60" s="86">
        <f t="shared" ref="I60" si="23">K60-G60</f>
        <v>2864.01</v>
      </c>
      <c r="J60" s="87"/>
      <c r="K60" s="86">
        <v>2864.01</v>
      </c>
      <c r="L60" s="87"/>
      <c r="M60" s="54" t="e">
        <f t="shared" si="11"/>
        <v>#DIV/0!</v>
      </c>
    </row>
    <row r="61" spans="1:13" x14ac:dyDescent="0.25">
      <c r="A61" s="29">
        <v>4241</v>
      </c>
      <c r="B61" s="3" t="s">
        <v>126</v>
      </c>
      <c r="C61" s="3"/>
      <c r="D61" s="3"/>
      <c r="E61" s="3"/>
      <c r="F61" s="30"/>
      <c r="G61" s="228">
        <v>929.06</v>
      </c>
      <c r="H61" s="229"/>
      <c r="I61" s="86">
        <f t="shared" ref="I61" si="24">K61-G61</f>
        <v>70.940000000000055</v>
      </c>
      <c r="J61" s="87"/>
      <c r="K61" s="86">
        <v>1000</v>
      </c>
      <c r="L61" s="87"/>
      <c r="M61" s="54">
        <f t="shared" si="11"/>
        <v>107.63567476804512</v>
      </c>
    </row>
    <row r="62" spans="1:13" x14ac:dyDescent="0.25">
      <c r="A62" s="225" t="s">
        <v>131</v>
      </c>
      <c r="B62" s="226"/>
      <c r="C62" s="226"/>
      <c r="D62" s="226"/>
      <c r="E62" s="226"/>
      <c r="F62" s="227"/>
      <c r="G62" s="219">
        <f t="shared" ref="G62" si="25">G63</f>
        <v>0</v>
      </c>
      <c r="H62" s="220"/>
      <c r="I62" s="219">
        <f>I63</f>
        <v>1000</v>
      </c>
      <c r="J62" s="220"/>
      <c r="K62" s="219">
        <f t="shared" ref="K62" si="26">K63</f>
        <v>1000</v>
      </c>
      <c r="L62" s="220"/>
      <c r="M62" s="62" t="e">
        <f t="shared" si="11"/>
        <v>#DIV/0!</v>
      </c>
    </row>
    <row r="63" spans="1:13" x14ac:dyDescent="0.25">
      <c r="A63" s="29">
        <v>4241</v>
      </c>
      <c r="B63" s="3" t="s">
        <v>126</v>
      </c>
      <c r="C63" s="3"/>
      <c r="D63" s="3"/>
      <c r="E63" s="3"/>
      <c r="F63" s="30"/>
      <c r="G63" s="230"/>
      <c r="H63" s="231"/>
      <c r="I63" s="221">
        <f>K63-G63</f>
        <v>1000</v>
      </c>
      <c r="J63" s="222"/>
      <c r="K63" s="221">
        <v>1000</v>
      </c>
      <c r="L63" s="222"/>
      <c r="M63" s="60" t="e">
        <f t="shared" si="11"/>
        <v>#DIV/0!</v>
      </c>
    </row>
    <row r="64" spans="1:13" x14ac:dyDescent="0.25">
      <c r="A64" s="225" t="s">
        <v>128</v>
      </c>
      <c r="B64" s="226"/>
      <c r="C64" s="226"/>
      <c r="D64" s="226"/>
      <c r="E64" s="226"/>
      <c r="F64" s="227"/>
      <c r="G64" s="219">
        <f>SUM(G65:H65)</f>
        <v>0</v>
      </c>
      <c r="H64" s="220"/>
      <c r="I64" s="219">
        <f>SUM(I65:J65)</f>
        <v>4000</v>
      </c>
      <c r="J64" s="220"/>
      <c r="K64" s="219">
        <f>SUM(K65:L65)</f>
        <v>4000</v>
      </c>
      <c r="L64" s="220"/>
      <c r="M64" s="62" t="e">
        <f t="shared" ref="M64:M75" si="27">K64/G64*100</f>
        <v>#DIV/0!</v>
      </c>
    </row>
    <row r="65" spans="1:13" x14ac:dyDescent="0.25">
      <c r="A65" s="11">
        <v>3299</v>
      </c>
      <c r="B65" s="43" t="s">
        <v>80</v>
      </c>
      <c r="C65" s="43"/>
      <c r="D65" s="43"/>
      <c r="E65" s="43"/>
      <c r="F65" s="42"/>
      <c r="G65" s="221"/>
      <c r="H65" s="222"/>
      <c r="I65" s="221">
        <f>K65-G65</f>
        <v>4000</v>
      </c>
      <c r="J65" s="222"/>
      <c r="K65" s="221">
        <v>4000</v>
      </c>
      <c r="L65" s="222"/>
      <c r="M65" s="60" t="e">
        <f t="shared" si="27"/>
        <v>#DIV/0!</v>
      </c>
    </row>
    <row r="66" spans="1:13" x14ac:dyDescent="0.25">
      <c r="A66" s="225" t="s">
        <v>130</v>
      </c>
      <c r="B66" s="226"/>
      <c r="C66" s="226"/>
      <c r="D66" s="226"/>
      <c r="E66" s="226"/>
      <c r="F66" s="227"/>
      <c r="G66" s="219">
        <f>SUM(G67:H74)</f>
        <v>4778.03</v>
      </c>
      <c r="H66" s="220"/>
      <c r="I66" s="219">
        <f>SUM(I67:J74)</f>
        <v>10297.060000000001</v>
      </c>
      <c r="J66" s="220"/>
      <c r="K66" s="219">
        <f>SUM(K67:L74)</f>
        <v>15075.09</v>
      </c>
      <c r="L66" s="220"/>
      <c r="M66" s="62">
        <f t="shared" si="27"/>
        <v>315.50848362191113</v>
      </c>
    </row>
    <row r="67" spans="1:13" x14ac:dyDescent="0.25">
      <c r="A67" s="11">
        <v>3111</v>
      </c>
      <c r="B67" s="43" t="s">
        <v>124</v>
      </c>
      <c r="C67" s="43"/>
      <c r="D67" s="43"/>
      <c r="E67" s="43"/>
      <c r="F67" s="42"/>
      <c r="G67" s="221"/>
      <c r="H67" s="222"/>
      <c r="I67" s="221">
        <f>K67-G67</f>
        <v>5060.29</v>
      </c>
      <c r="J67" s="222"/>
      <c r="K67" s="221">
        <v>5060.29</v>
      </c>
      <c r="L67" s="222"/>
      <c r="M67" s="71" t="e">
        <f t="shared" si="27"/>
        <v>#DIV/0!</v>
      </c>
    </row>
    <row r="68" spans="1:13" x14ac:dyDescent="0.25">
      <c r="A68" s="11">
        <v>3211</v>
      </c>
      <c r="B68" s="43" t="s">
        <v>63</v>
      </c>
      <c r="C68" s="43"/>
      <c r="D68" s="43"/>
      <c r="E68" s="43"/>
      <c r="F68" s="42"/>
      <c r="G68" s="221"/>
      <c r="H68" s="222"/>
      <c r="I68" s="86">
        <f t="shared" ref="I68" si="28">K68-G68</f>
        <v>300</v>
      </c>
      <c r="J68" s="87"/>
      <c r="K68" s="221">
        <v>300</v>
      </c>
      <c r="L68" s="222"/>
      <c r="M68" s="71" t="e">
        <f>K68/G68*100</f>
        <v>#DIV/0!</v>
      </c>
    </row>
    <row r="69" spans="1:13" x14ac:dyDescent="0.25">
      <c r="A69" s="11">
        <v>3224</v>
      </c>
      <c r="B69" s="4" t="s">
        <v>112</v>
      </c>
      <c r="C69" s="43"/>
      <c r="D69" s="43"/>
      <c r="E69" s="43"/>
      <c r="F69" s="42"/>
      <c r="G69" s="221"/>
      <c r="H69" s="222"/>
      <c r="I69" s="86">
        <f t="shared" ref="I69" si="29">K69-G69</f>
        <v>1000</v>
      </c>
      <c r="J69" s="87"/>
      <c r="K69" s="221">
        <v>1000</v>
      </c>
      <c r="L69" s="222"/>
      <c r="M69" s="71" t="e">
        <f>K69/G69*100</f>
        <v>#DIV/0!</v>
      </c>
    </row>
    <row r="70" spans="1:13" x14ac:dyDescent="0.25">
      <c r="A70" s="12">
        <v>3231</v>
      </c>
      <c r="B70" s="4" t="s">
        <v>73</v>
      </c>
      <c r="C70" s="4"/>
      <c r="D70" s="4"/>
      <c r="E70" s="4"/>
      <c r="F70" s="13"/>
      <c r="G70" s="221">
        <v>1858.12</v>
      </c>
      <c r="H70" s="222"/>
      <c r="I70" s="86">
        <f t="shared" ref="I70:I74" si="30">K70-G70</f>
        <v>141.88000000000011</v>
      </c>
      <c r="J70" s="87"/>
      <c r="K70" s="86">
        <v>2000</v>
      </c>
      <c r="L70" s="87"/>
      <c r="M70" s="54">
        <f t="shared" si="27"/>
        <v>107.63567476804512</v>
      </c>
    </row>
    <row r="71" spans="1:13" x14ac:dyDescent="0.25">
      <c r="A71" s="12">
        <v>3237</v>
      </c>
      <c r="B71" s="4" t="s">
        <v>77</v>
      </c>
      <c r="C71" s="4"/>
      <c r="D71" s="4"/>
      <c r="E71" s="4"/>
      <c r="F71" s="13"/>
      <c r="G71" s="86">
        <v>929.06</v>
      </c>
      <c r="H71" s="87"/>
      <c r="I71" s="86">
        <f t="shared" si="30"/>
        <v>148.40000000000009</v>
      </c>
      <c r="J71" s="87"/>
      <c r="K71" s="86">
        <v>1077.46</v>
      </c>
      <c r="L71" s="87"/>
      <c r="M71" s="54">
        <f t="shared" si="27"/>
        <v>115.97313413557791</v>
      </c>
    </row>
    <row r="72" spans="1:13" x14ac:dyDescent="0.25">
      <c r="A72" s="12">
        <v>3296</v>
      </c>
      <c r="B72" s="4" t="s">
        <v>86</v>
      </c>
      <c r="C72" s="4"/>
      <c r="D72" s="4"/>
      <c r="E72" s="4"/>
      <c r="F72" s="13"/>
      <c r="G72" s="86"/>
      <c r="H72" s="87"/>
      <c r="I72" s="86">
        <f t="shared" ref="I72" si="31">K72-G72</f>
        <v>1266.77</v>
      </c>
      <c r="J72" s="87"/>
      <c r="K72" s="86">
        <v>1266.77</v>
      </c>
      <c r="L72" s="87"/>
      <c r="M72" s="54" t="e">
        <f t="shared" si="27"/>
        <v>#DIV/0!</v>
      </c>
    </row>
    <row r="73" spans="1:13" x14ac:dyDescent="0.25">
      <c r="A73" s="12">
        <v>3299</v>
      </c>
      <c r="B73" s="4" t="s">
        <v>80</v>
      </c>
      <c r="C73" s="4"/>
      <c r="D73" s="4"/>
      <c r="E73" s="4"/>
      <c r="F73" s="13"/>
      <c r="G73" s="86">
        <v>929.06</v>
      </c>
      <c r="H73" s="87"/>
      <c r="I73" s="86">
        <f t="shared" si="30"/>
        <v>2141.5100000000002</v>
      </c>
      <c r="J73" s="87"/>
      <c r="K73" s="86">
        <v>3070.57</v>
      </c>
      <c r="L73" s="87"/>
      <c r="M73" s="54">
        <f t="shared" si="27"/>
        <v>330.50287387251632</v>
      </c>
    </row>
    <row r="74" spans="1:13" x14ac:dyDescent="0.25">
      <c r="A74" s="29">
        <v>4221</v>
      </c>
      <c r="B74" s="3" t="s">
        <v>106</v>
      </c>
      <c r="C74" s="3"/>
      <c r="D74" s="3"/>
      <c r="E74" s="3"/>
      <c r="F74" s="30"/>
      <c r="G74" s="228">
        <v>1061.79</v>
      </c>
      <c r="H74" s="229"/>
      <c r="I74" s="86">
        <f t="shared" si="30"/>
        <v>238.21000000000004</v>
      </c>
      <c r="J74" s="87"/>
      <c r="K74" s="86">
        <v>1300</v>
      </c>
      <c r="L74" s="87"/>
      <c r="M74" s="54">
        <f t="shared" si="27"/>
        <v>122.43475640192504</v>
      </c>
    </row>
    <row r="75" spans="1:13" x14ac:dyDescent="0.25">
      <c r="A75" s="234" t="s">
        <v>164</v>
      </c>
      <c r="B75" s="235"/>
      <c r="C75" s="235"/>
      <c r="D75" s="235"/>
      <c r="E75" s="235"/>
      <c r="F75" s="236"/>
      <c r="G75" s="232">
        <f>+G76</f>
        <v>2654.46</v>
      </c>
      <c r="H75" s="233"/>
      <c r="I75" s="232">
        <f t="shared" ref="I75" si="32">+I76</f>
        <v>-1794.6399999999999</v>
      </c>
      <c r="J75" s="233"/>
      <c r="K75" s="232">
        <f t="shared" ref="K75" si="33">+K76</f>
        <v>859.82</v>
      </c>
      <c r="L75" s="233"/>
      <c r="M75" s="61">
        <f t="shared" si="27"/>
        <v>32.391522192837719</v>
      </c>
    </row>
    <row r="76" spans="1:13" x14ac:dyDescent="0.25">
      <c r="A76" s="225" t="s">
        <v>133</v>
      </c>
      <c r="B76" s="226"/>
      <c r="C76" s="226"/>
      <c r="D76" s="226"/>
      <c r="E76" s="226"/>
      <c r="F76" s="227"/>
      <c r="G76" s="264">
        <f>SUM(G78:H79)</f>
        <v>2654.46</v>
      </c>
      <c r="H76" s="265"/>
      <c r="I76" s="219">
        <f>SUM(I78:J79)</f>
        <v>-1794.6399999999999</v>
      </c>
      <c r="J76" s="220"/>
      <c r="K76" s="219">
        <f>SUM(K78:L79)</f>
        <v>859.82</v>
      </c>
      <c r="L76" s="220"/>
      <c r="M76" s="217">
        <f t="shared" ref="M76:M80" si="34">K76/G76*100</f>
        <v>32.391522192837719</v>
      </c>
    </row>
    <row r="77" spans="1:13" x14ac:dyDescent="0.25">
      <c r="A77" s="237" t="s">
        <v>130</v>
      </c>
      <c r="B77" s="238"/>
      <c r="C77" s="238"/>
      <c r="D77" s="238"/>
      <c r="E77" s="238"/>
      <c r="F77" s="239"/>
      <c r="G77" s="219"/>
      <c r="H77" s="220"/>
      <c r="I77" s="267"/>
      <c r="J77" s="268"/>
      <c r="K77" s="267"/>
      <c r="L77" s="268"/>
      <c r="M77" s="266" t="e">
        <f t="shared" si="34"/>
        <v>#DIV/0!</v>
      </c>
    </row>
    <row r="78" spans="1:13" x14ac:dyDescent="0.25">
      <c r="A78" s="11">
        <v>3211</v>
      </c>
      <c r="B78" s="43" t="s">
        <v>63</v>
      </c>
      <c r="C78" s="43"/>
      <c r="D78" s="43"/>
      <c r="E78" s="43"/>
      <c r="F78" s="42"/>
      <c r="G78" s="221"/>
      <c r="H78" s="222"/>
      <c r="I78" s="221">
        <f t="shared" ref="I78:I79" si="35">K78-G78</f>
        <v>849.82</v>
      </c>
      <c r="J78" s="222"/>
      <c r="K78" s="221">
        <v>849.82</v>
      </c>
      <c r="L78" s="222"/>
      <c r="M78" s="60" t="e">
        <f t="shared" si="34"/>
        <v>#DIV/0!</v>
      </c>
    </row>
    <row r="79" spans="1:13" x14ac:dyDescent="0.25">
      <c r="A79" s="11">
        <v>3299</v>
      </c>
      <c r="B79" s="43" t="s">
        <v>80</v>
      </c>
      <c r="C79" s="43"/>
      <c r="D79" s="43"/>
      <c r="E79" s="43"/>
      <c r="F79" s="42"/>
      <c r="G79" s="228">
        <v>2654.46</v>
      </c>
      <c r="H79" s="229"/>
      <c r="I79" s="86">
        <f t="shared" si="35"/>
        <v>-2644.46</v>
      </c>
      <c r="J79" s="87"/>
      <c r="K79" s="86">
        <v>10</v>
      </c>
      <c r="L79" s="87"/>
      <c r="M79" s="54">
        <f t="shared" si="34"/>
        <v>0.37672445619824746</v>
      </c>
    </row>
    <row r="80" spans="1:13" x14ac:dyDescent="0.25">
      <c r="A80" s="234" t="s">
        <v>165</v>
      </c>
      <c r="B80" s="235"/>
      <c r="C80" s="235"/>
      <c r="D80" s="235"/>
      <c r="E80" s="235"/>
      <c r="F80" s="236"/>
      <c r="G80" s="232">
        <f>+G81</f>
        <v>14438.94</v>
      </c>
      <c r="H80" s="233"/>
      <c r="I80" s="232">
        <f t="shared" ref="I80" si="36">+I81</f>
        <v>290.85000000000036</v>
      </c>
      <c r="J80" s="233"/>
      <c r="K80" s="232">
        <f t="shared" ref="K80" si="37">+K81</f>
        <v>14729.79</v>
      </c>
      <c r="L80" s="233"/>
      <c r="M80" s="61">
        <f t="shared" si="34"/>
        <v>102.0143445432975</v>
      </c>
    </row>
    <row r="81" spans="1:13" x14ac:dyDescent="0.25">
      <c r="A81" s="253" t="s">
        <v>132</v>
      </c>
      <c r="B81" s="254"/>
      <c r="C81" s="254"/>
      <c r="D81" s="254"/>
      <c r="E81" s="254"/>
      <c r="F81" s="255"/>
      <c r="G81" s="264">
        <f>SUM(G83:H84)</f>
        <v>14438.94</v>
      </c>
      <c r="H81" s="265"/>
      <c r="I81" s="264">
        <f>SUM(I83:J84)</f>
        <v>290.85000000000036</v>
      </c>
      <c r="J81" s="265"/>
      <c r="K81" s="219">
        <f>SUM(K83:L84)</f>
        <v>14729.79</v>
      </c>
      <c r="L81" s="220"/>
      <c r="M81" s="217">
        <f t="shared" ref="M81:M84" si="38">K81/G81*100</f>
        <v>102.0143445432975</v>
      </c>
    </row>
    <row r="82" spans="1:13" ht="15" customHeight="1" x14ac:dyDescent="0.25">
      <c r="A82" s="237" t="s">
        <v>130</v>
      </c>
      <c r="B82" s="238"/>
      <c r="C82" s="238"/>
      <c r="D82" s="238"/>
      <c r="E82" s="238"/>
      <c r="F82" s="239"/>
      <c r="G82" s="219"/>
      <c r="H82" s="220"/>
      <c r="I82" s="219"/>
      <c r="J82" s="220"/>
      <c r="K82" s="267"/>
      <c r="L82" s="268"/>
      <c r="M82" s="266" t="e">
        <f t="shared" si="38"/>
        <v>#DIV/0!</v>
      </c>
    </row>
    <row r="83" spans="1:13" x14ac:dyDescent="0.25">
      <c r="A83" s="11">
        <v>3211</v>
      </c>
      <c r="B83" s="45" t="s">
        <v>63</v>
      </c>
      <c r="C83" s="46"/>
      <c r="D83" s="46"/>
      <c r="E83" s="46"/>
      <c r="F83" s="47"/>
      <c r="G83" s="221">
        <v>9130.02</v>
      </c>
      <c r="H83" s="222"/>
      <c r="I83" s="221">
        <f t="shared" ref="I83:I84" si="39">K83-G83</f>
        <v>599.77000000000044</v>
      </c>
      <c r="J83" s="222"/>
      <c r="K83" s="221">
        <v>9729.7900000000009</v>
      </c>
      <c r="L83" s="222"/>
      <c r="M83" s="60">
        <f t="shared" si="38"/>
        <v>106.56920795354227</v>
      </c>
    </row>
    <row r="84" spans="1:13" ht="15.75" thickBot="1" x14ac:dyDescent="0.3">
      <c r="A84" s="48">
        <v>3213</v>
      </c>
      <c r="B84" s="49" t="s">
        <v>134</v>
      </c>
      <c r="C84" s="50"/>
      <c r="D84" s="50"/>
      <c r="E84" s="50"/>
      <c r="F84" s="51"/>
      <c r="G84" s="223">
        <v>5308.92</v>
      </c>
      <c r="H84" s="224"/>
      <c r="I84" s="223">
        <f t="shared" si="39"/>
        <v>-308.92000000000007</v>
      </c>
      <c r="J84" s="224"/>
      <c r="K84" s="223">
        <v>5000</v>
      </c>
      <c r="L84" s="224"/>
      <c r="M84" s="55">
        <f t="shared" si="38"/>
        <v>94.18111404956187</v>
      </c>
    </row>
  </sheetData>
  <customSheetViews>
    <customSheetView guid="{005C429F-8448-44DF-83AD-8A930973E873}" topLeftCell="A22">
      <selection activeCell="G131" sqref="G131:H131"/>
      <rowBreaks count="1" manualBreakCount="1">
        <brk id="54" max="16383" man="1"/>
      </rowBreaks>
      <pageMargins left="0.7" right="0.7" top="0.75" bottom="0.75" header="0.3" footer="0.3"/>
      <pageSetup paperSize="9" scale="63" orientation="portrait" r:id="rId1"/>
    </customSheetView>
  </customSheetViews>
  <mergeCells count="243">
    <mergeCell ref="K52:L52"/>
    <mergeCell ref="K53:L53"/>
    <mergeCell ref="K42:L43"/>
    <mergeCell ref="K44:L44"/>
    <mergeCell ref="K54:L54"/>
    <mergeCell ref="K55:L55"/>
    <mergeCell ref="K84:L84"/>
    <mergeCell ref="K83:L83"/>
    <mergeCell ref="K62:L62"/>
    <mergeCell ref="K63:L63"/>
    <mergeCell ref="K64:L64"/>
    <mergeCell ref="K58:L58"/>
    <mergeCell ref="K59:L59"/>
    <mergeCell ref="K60:L60"/>
    <mergeCell ref="K61:L61"/>
    <mergeCell ref="K67:L67"/>
    <mergeCell ref="K68:L68"/>
    <mergeCell ref="K69:L69"/>
    <mergeCell ref="K70:L70"/>
    <mergeCell ref="I84:J84"/>
    <mergeCell ref="I79:J79"/>
    <mergeCell ref="K9:L9"/>
    <mergeCell ref="K7:L8"/>
    <mergeCell ref="K24:L24"/>
    <mergeCell ref="K23:L23"/>
    <mergeCell ref="K30:L30"/>
    <mergeCell ref="K29:L29"/>
    <mergeCell ref="K28:L28"/>
    <mergeCell ref="K22:L22"/>
    <mergeCell ref="K21:L21"/>
    <mergeCell ref="K20:L20"/>
    <mergeCell ref="K19:L19"/>
    <mergeCell ref="K18:L18"/>
    <mergeCell ref="K17:L17"/>
    <mergeCell ref="K16:L16"/>
    <mergeCell ref="K15:L15"/>
    <mergeCell ref="K14:L14"/>
    <mergeCell ref="K12:L13"/>
    <mergeCell ref="K11:L11"/>
    <mergeCell ref="K65:L65"/>
    <mergeCell ref="K66:L66"/>
    <mergeCell ref="I64:J64"/>
    <mergeCell ref="K10:L10"/>
    <mergeCell ref="I60:J60"/>
    <mergeCell ref="I61:J61"/>
    <mergeCell ref="I62:J62"/>
    <mergeCell ref="I63:J63"/>
    <mergeCell ref="I65:J65"/>
    <mergeCell ref="I66:J66"/>
    <mergeCell ref="I70:J70"/>
    <mergeCell ref="I81:J82"/>
    <mergeCell ref="I83:J83"/>
    <mergeCell ref="I67:J67"/>
    <mergeCell ref="I68:J68"/>
    <mergeCell ref="I69:J69"/>
    <mergeCell ref="I57:J57"/>
    <mergeCell ref="I58:J58"/>
    <mergeCell ref="I45:J45"/>
    <mergeCell ref="I46:J46"/>
    <mergeCell ref="I47:J47"/>
    <mergeCell ref="I48:J48"/>
    <mergeCell ref="I52:J52"/>
    <mergeCell ref="I53:J53"/>
    <mergeCell ref="I59:J59"/>
    <mergeCell ref="A82:F82"/>
    <mergeCell ref="K79:L79"/>
    <mergeCell ref="G76:H77"/>
    <mergeCell ref="G78:H78"/>
    <mergeCell ref="G79:H79"/>
    <mergeCell ref="G73:H73"/>
    <mergeCell ref="G74:H74"/>
    <mergeCell ref="I9:J9"/>
    <mergeCell ref="I10:J10"/>
    <mergeCell ref="I11:J11"/>
    <mergeCell ref="I12:J13"/>
    <mergeCell ref="I14:J14"/>
    <mergeCell ref="I15:J15"/>
    <mergeCell ref="I16:J16"/>
    <mergeCell ref="I17:J17"/>
    <mergeCell ref="I18:J18"/>
    <mergeCell ref="I28:J28"/>
    <mergeCell ref="I29:J29"/>
    <mergeCell ref="I30:J30"/>
    <mergeCell ref="I31:J31"/>
    <mergeCell ref="I32:J32"/>
    <mergeCell ref="I33:J33"/>
    <mergeCell ref="I34:J34"/>
    <mergeCell ref="I35:J35"/>
    <mergeCell ref="M81:M82"/>
    <mergeCell ref="K81:L82"/>
    <mergeCell ref="G81:H82"/>
    <mergeCell ref="K76:L77"/>
    <mergeCell ref="K78:L78"/>
    <mergeCell ref="K71:L71"/>
    <mergeCell ref="K72:L72"/>
    <mergeCell ref="G72:H72"/>
    <mergeCell ref="I76:J77"/>
    <mergeCell ref="I78:J78"/>
    <mergeCell ref="M12:M13"/>
    <mergeCell ref="M42:M43"/>
    <mergeCell ref="M76:M77"/>
    <mergeCell ref="I42:J43"/>
    <mergeCell ref="I44:J44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37:J37"/>
    <mergeCell ref="I71:J71"/>
    <mergeCell ref="I72:J72"/>
    <mergeCell ref="I73:J73"/>
    <mergeCell ref="I74:J74"/>
    <mergeCell ref="K56:L56"/>
    <mergeCell ref="K57:L57"/>
    <mergeCell ref="K25:L25"/>
    <mergeCell ref="K26:L26"/>
    <mergeCell ref="I36:J36"/>
    <mergeCell ref="K27:L27"/>
    <mergeCell ref="K38:L38"/>
    <mergeCell ref="K39:L39"/>
    <mergeCell ref="K40:L40"/>
    <mergeCell ref="K41:L41"/>
    <mergeCell ref="K31:L31"/>
    <mergeCell ref="K32:L32"/>
    <mergeCell ref="K33:L33"/>
    <mergeCell ref="K34:L34"/>
    <mergeCell ref="K35:L35"/>
    <mergeCell ref="K36:L36"/>
    <mergeCell ref="K37:L37"/>
    <mergeCell ref="K45:L45"/>
    <mergeCell ref="K46:L46"/>
    <mergeCell ref="K47:L47"/>
    <mergeCell ref="G68:H68"/>
    <mergeCell ref="G69:H69"/>
    <mergeCell ref="I38:J38"/>
    <mergeCell ref="K48:L48"/>
    <mergeCell ref="G30:H30"/>
    <mergeCell ref="G31:H31"/>
    <mergeCell ref="G32:H32"/>
    <mergeCell ref="G42:H43"/>
    <mergeCell ref="G44:H44"/>
    <mergeCell ref="G38:H38"/>
    <mergeCell ref="G39:H39"/>
    <mergeCell ref="G40:H40"/>
    <mergeCell ref="G41:H41"/>
    <mergeCell ref="I39:J39"/>
    <mergeCell ref="I40:J40"/>
    <mergeCell ref="I41:J41"/>
    <mergeCell ref="G67:H67"/>
    <mergeCell ref="G65:H65"/>
    <mergeCell ref="G66:H66"/>
    <mergeCell ref="I49:J50"/>
    <mergeCell ref="K49:L50"/>
    <mergeCell ref="A7:F8"/>
    <mergeCell ref="A9:F9"/>
    <mergeCell ref="A81:F81"/>
    <mergeCell ref="I7:J8"/>
    <mergeCell ref="G7:H8"/>
    <mergeCell ref="G9:H9"/>
    <mergeCell ref="A77:F77"/>
    <mergeCell ref="A76:F76"/>
    <mergeCell ref="A66:F66"/>
    <mergeCell ref="A62:F62"/>
    <mergeCell ref="G20:H20"/>
    <mergeCell ref="G21:H21"/>
    <mergeCell ref="G22:H22"/>
    <mergeCell ref="G10:H10"/>
    <mergeCell ref="G11:H11"/>
    <mergeCell ref="G12:H13"/>
    <mergeCell ref="G14:H14"/>
    <mergeCell ref="G15:H15"/>
    <mergeCell ref="G16:H16"/>
    <mergeCell ref="A11:F11"/>
    <mergeCell ref="A75:F75"/>
    <mergeCell ref="I54:J54"/>
    <mergeCell ref="I55:J55"/>
    <mergeCell ref="I56:J56"/>
    <mergeCell ref="G34:H34"/>
    <mergeCell ref="G35:H35"/>
    <mergeCell ref="G36:H36"/>
    <mergeCell ref="G37:H37"/>
    <mergeCell ref="G28:H28"/>
    <mergeCell ref="G29:H29"/>
    <mergeCell ref="G64:H64"/>
    <mergeCell ref="A10:F10"/>
    <mergeCell ref="A12:F12"/>
    <mergeCell ref="A13:F13"/>
    <mergeCell ref="A48:F48"/>
    <mergeCell ref="G17:H17"/>
    <mergeCell ref="G18:H18"/>
    <mergeCell ref="G19:H19"/>
    <mergeCell ref="G23:H23"/>
    <mergeCell ref="G24:H24"/>
    <mergeCell ref="G25:H25"/>
    <mergeCell ref="G26:H26"/>
    <mergeCell ref="G27:H27"/>
    <mergeCell ref="G33:H33"/>
    <mergeCell ref="G71:H71"/>
    <mergeCell ref="G58:H58"/>
    <mergeCell ref="G57:H57"/>
    <mergeCell ref="A42:F42"/>
    <mergeCell ref="A43:F43"/>
    <mergeCell ref="A56:F56"/>
    <mergeCell ref="A54:F54"/>
    <mergeCell ref="G45:H45"/>
    <mergeCell ref="G46:H46"/>
    <mergeCell ref="G47:H47"/>
    <mergeCell ref="G48:H48"/>
    <mergeCell ref="G54:H54"/>
    <mergeCell ref="G55:H55"/>
    <mergeCell ref="G56:H56"/>
    <mergeCell ref="A49:F50"/>
    <mergeCell ref="G49:H50"/>
    <mergeCell ref="G70:H70"/>
    <mergeCell ref="M49:M50"/>
    <mergeCell ref="G51:H51"/>
    <mergeCell ref="I51:J51"/>
    <mergeCell ref="K51:L51"/>
    <mergeCell ref="G83:H83"/>
    <mergeCell ref="G84:H84"/>
    <mergeCell ref="K73:L73"/>
    <mergeCell ref="K74:L74"/>
    <mergeCell ref="A51:F51"/>
    <mergeCell ref="G52:H52"/>
    <mergeCell ref="G53:H53"/>
    <mergeCell ref="G59:H59"/>
    <mergeCell ref="G60:H60"/>
    <mergeCell ref="G61:H61"/>
    <mergeCell ref="G62:H62"/>
    <mergeCell ref="G63:H63"/>
    <mergeCell ref="G75:H75"/>
    <mergeCell ref="I75:J75"/>
    <mergeCell ref="K75:L75"/>
    <mergeCell ref="A80:F80"/>
    <mergeCell ref="G80:H80"/>
    <mergeCell ref="I80:J80"/>
    <mergeCell ref="K80:L80"/>
    <mergeCell ref="A64:F64"/>
  </mergeCells>
  <pageMargins left="0.7" right="0.7" top="0.75" bottom="0.75" header="0.3" footer="0.3"/>
  <pageSetup paperSize="9" scale="53" orientation="portrait" r:id="rId2"/>
  <rowBreaks count="1" manualBreakCount="1">
    <brk id="47" max="16383" man="1"/>
  </rowBreaks>
  <ignoredErrors>
    <ignoredError sqref="M76:M78 M42:M48 M81:M84 M79 M51:M53 H10 M54:M74 M10 M49" evalError="1"/>
    <ignoredError sqref="I20:J41 I54 I56 I66 I62:J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L15" sqref="L15"/>
    </sheetView>
  </sheetViews>
  <sheetFormatPr defaultRowHeight="15" x14ac:dyDescent="0.25"/>
  <cols>
    <col min="1" max="11" width="8.85546875" customWidth="1"/>
    <col min="13" max="13" width="12.7109375" bestFit="1" customWidth="1"/>
    <col min="15" max="15" width="10.140625" bestFit="1" customWidth="1"/>
  </cols>
  <sheetData>
    <row r="1" spans="1:15" x14ac:dyDescent="0.25">
      <c r="A1" s="1" t="s">
        <v>21</v>
      </c>
    </row>
    <row r="2" spans="1:15" x14ac:dyDescent="0.25">
      <c r="A2" t="s">
        <v>19</v>
      </c>
    </row>
    <row r="3" spans="1:15" x14ac:dyDescent="0.25">
      <c r="A3" t="s">
        <v>20</v>
      </c>
    </row>
    <row r="5" spans="1:15" x14ac:dyDescent="0.25">
      <c r="A5" s="72" t="s">
        <v>161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5" ht="15.75" thickBot="1" x14ac:dyDescent="0.3">
      <c r="A7" s="1" t="s">
        <v>168</v>
      </c>
    </row>
    <row r="8" spans="1:15" ht="15" customHeight="1" x14ac:dyDescent="0.25">
      <c r="A8" s="269" t="s">
        <v>11</v>
      </c>
      <c r="B8" s="270"/>
      <c r="C8" s="270"/>
      <c r="D8" s="270"/>
      <c r="E8" s="104" t="s">
        <v>156</v>
      </c>
      <c r="F8" s="105"/>
      <c r="G8" s="104" t="s">
        <v>157</v>
      </c>
      <c r="H8" s="105"/>
      <c r="I8" s="82" t="s">
        <v>158</v>
      </c>
      <c r="J8" s="82"/>
      <c r="K8" s="25" t="s">
        <v>50</v>
      </c>
    </row>
    <row r="9" spans="1:15" x14ac:dyDescent="0.25">
      <c r="A9" s="37" t="s">
        <v>142</v>
      </c>
      <c r="B9" s="271" t="s">
        <v>143</v>
      </c>
      <c r="C9" s="271"/>
      <c r="D9" s="271"/>
      <c r="E9" s="106"/>
      <c r="F9" s="107"/>
      <c r="G9" s="106"/>
      <c r="H9" s="107"/>
      <c r="I9" s="83"/>
      <c r="J9" s="83"/>
      <c r="K9" s="28" t="s">
        <v>163</v>
      </c>
    </row>
    <row r="10" spans="1:15" ht="15.75" thickBot="1" x14ac:dyDescent="0.3">
      <c r="A10" s="194">
        <v>1</v>
      </c>
      <c r="B10" s="195"/>
      <c r="C10" s="195"/>
      <c r="D10" s="195"/>
      <c r="E10" s="194">
        <v>2</v>
      </c>
      <c r="F10" s="195"/>
      <c r="G10" s="194">
        <v>3</v>
      </c>
      <c r="H10" s="195"/>
      <c r="I10" s="194">
        <v>4</v>
      </c>
      <c r="J10" s="195"/>
      <c r="K10" s="27">
        <v>5</v>
      </c>
    </row>
    <row r="11" spans="1:15" x14ac:dyDescent="0.25">
      <c r="A11" s="12">
        <v>31</v>
      </c>
      <c r="B11" s="4" t="s">
        <v>137</v>
      </c>
      <c r="C11" s="4"/>
      <c r="D11" s="4"/>
      <c r="E11" s="86">
        <v>1592.68</v>
      </c>
      <c r="F11" s="87"/>
      <c r="G11" s="86">
        <f t="shared" ref="G11:G14" si="0">I11-E11</f>
        <v>1407.32</v>
      </c>
      <c r="H11" s="87"/>
      <c r="I11" s="86">
        <v>3000</v>
      </c>
      <c r="J11" s="87"/>
      <c r="K11" s="54">
        <f>I11/E11*100</f>
        <v>188.36175502925886</v>
      </c>
      <c r="M11" s="36"/>
    </row>
    <row r="12" spans="1:15" x14ac:dyDescent="0.25">
      <c r="A12" s="12">
        <v>41</v>
      </c>
      <c r="B12" s="4" t="s">
        <v>135</v>
      </c>
      <c r="C12" s="4"/>
      <c r="D12" s="4"/>
      <c r="E12" s="86">
        <v>1061.79</v>
      </c>
      <c r="F12" s="87"/>
      <c r="G12" s="86">
        <f t="shared" si="0"/>
        <v>-461.78999999999996</v>
      </c>
      <c r="H12" s="87"/>
      <c r="I12" s="86">
        <v>600</v>
      </c>
      <c r="J12" s="87"/>
      <c r="K12" s="54">
        <f t="shared" ref="K12:K19" si="1">I12/E12*100</f>
        <v>56.508349108580788</v>
      </c>
      <c r="M12" s="36"/>
      <c r="N12" s="36"/>
      <c r="O12" s="36"/>
    </row>
    <row r="13" spans="1:15" x14ac:dyDescent="0.25">
      <c r="A13" s="12">
        <v>42035</v>
      </c>
      <c r="B13" s="4" t="s">
        <v>138</v>
      </c>
      <c r="C13" s="4"/>
      <c r="D13" s="4"/>
      <c r="E13" s="86">
        <v>21871.43</v>
      </c>
      <c r="F13" s="87"/>
      <c r="G13" s="86">
        <f t="shared" si="0"/>
        <v>8793.27</v>
      </c>
      <c r="H13" s="87"/>
      <c r="I13" s="86">
        <v>30664.7</v>
      </c>
      <c r="J13" s="87"/>
      <c r="K13" s="54">
        <f>I13/E13*100</f>
        <v>140.20436706699104</v>
      </c>
      <c r="M13" s="36"/>
      <c r="N13" s="36"/>
      <c r="O13" s="36"/>
    </row>
    <row r="14" spans="1:15" x14ac:dyDescent="0.25">
      <c r="A14" s="12">
        <v>451</v>
      </c>
      <c r="B14" s="4" t="s">
        <v>139</v>
      </c>
      <c r="C14" s="4"/>
      <c r="D14" s="4"/>
      <c r="E14" s="86">
        <v>140983.98000000001</v>
      </c>
      <c r="F14" s="87"/>
      <c r="G14" s="86">
        <f t="shared" si="0"/>
        <v>49804.699999999983</v>
      </c>
      <c r="H14" s="87"/>
      <c r="I14" s="86">
        <v>190788.68</v>
      </c>
      <c r="J14" s="87"/>
      <c r="K14" s="54">
        <f t="shared" si="1"/>
        <v>135.32649596074674</v>
      </c>
      <c r="M14" s="36"/>
    </row>
    <row r="15" spans="1:15" x14ac:dyDescent="0.25">
      <c r="A15" s="12">
        <v>5103</v>
      </c>
      <c r="B15" s="4" t="s">
        <v>140</v>
      </c>
      <c r="C15" s="4"/>
      <c r="D15" s="4"/>
      <c r="E15" s="86">
        <v>16988.53</v>
      </c>
      <c r="F15" s="87"/>
      <c r="G15" s="86">
        <f>I15-E15</f>
        <v>23172.870000000003</v>
      </c>
      <c r="H15" s="87"/>
      <c r="I15" s="86">
        <v>40161.4</v>
      </c>
      <c r="J15" s="87"/>
      <c r="K15" s="54">
        <f t="shared" si="1"/>
        <v>236.40303192801264</v>
      </c>
      <c r="M15" s="36"/>
      <c r="N15" s="36"/>
      <c r="O15" s="36"/>
    </row>
    <row r="16" spans="1:15" x14ac:dyDescent="0.25">
      <c r="A16" s="12">
        <v>51036</v>
      </c>
      <c r="B16" s="4" t="s">
        <v>166</v>
      </c>
      <c r="C16" s="4"/>
      <c r="D16" s="4"/>
      <c r="E16" s="86">
        <v>1369832.12</v>
      </c>
      <c r="F16" s="87"/>
      <c r="G16" s="86">
        <f t="shared" ref="G16:G18" si="2">I16-E16</f>
        <v>126867.87999999989</v>
      </c>
      <c r="H16" s="87"/>
      <c r="I16" s="86">
        <v>1496700</v>
      </c>
      <c r="J16" s="87"/>
      <c r="K16" s="54">
        <f t="shared" si="1"/>
        <v>109.26156411049843</v>
      </c>
    </row>
    <row r="17" spans="1:13" x14ac:dyDescent="0.25">
      <c r="A17" s="12">
        <v>51037</v>
      </c>
      <c r="B17" s="4" t="s">
        <v>167</v>
      </c>
      <c r="C17" s="4"/>
      <c r="D17" s="4"/>
      <c r="E17" s="86"/>
      <c r="F17" s="87"/>
      <c r="G17" s="86">
        <f t="shared" si="2"/>
        <v>1000</v>
      </c>
      <c r="H17" s="87"/>
      <c r="I17" s="86">
        <v>1000</v>
      </c>
      <c r="J17" s="87"/>
      <c r="K17" s="54" t="e">
        <f t="shared" si="1"/>
        <v>#DIV/0!</v>
      </c>
      <c r="M17" s="36"/>
    </row>
    <row r="18" spans="1:13" ht="15.75" thickBot="1" x14ac:dyDescent="0.3">
      <c r="A18" s="38">
        <v>61</v>
      </c>
      <c r="B18" s="39" t="s">
        <v>141</v>
      </c>
      <c r="C18" s="39"/>
      <c r="D18" s="39"/>
      <c r="E18" s="86"/>
      <c r="F18" s="87"/>
      <c r="G18" s="86">
        <f t="shared" si="2"/>
        <v>4000</v>
      </c>
      <c r="H18" s="87"/>
      <c r="I18" s="86">
        <v>4000</v>
      </c>
      <c r="J18" s="87"/>
      <c r="K18" s="54" t="e">
        <f t="shared" si="1"/>
        <v>#DIV/0!</v>
      </c>
      <c r="M18" s="36"/>
    </row>
    <row r="19" spans="1:13" ht="15.75" thickBot="1" x14ac:dyDescent="0.3">
      <c r="A19" s="274" t="s">
        <v>136</v>
      </c>
      <c r="B19" s="274"/>
      <c r="C19" s="274"/>
      <c r="D19" s="274"/>
      <c r="E19" s="272">
        <f>SUM(E11:F18)</f>
        <v>1552330.53</v>
      </c>
      <c r="F19" s="273"/>
      <c r="G19" s="272">
        <f>SUM(G11:H18)</f>
        <v>214584.24999999988</v>
      </c>
      <c r="H19" s="273"/>
      <c r="I19" s="272">
        <f>SUM(I11:J18)</f>
        <v>1766914.78</v>
      </c>
      <c r="J19" s="273"/>
      <c r="K19" s="65">
        <f t="shared" si="1"/>
        <v>113.82336080190345</v>
      </c>
    </row>
    <row r="20" spans="1:13" x14ac:dyDescent="0.25">
      <c r="M20" s="36"/>
    </row>
    <row r="21" spans="1:13" x14ac:dyDescent="0.25">
      <c r="C21" s="36"/>
    </row>
    <row r="22" spans="1:13" ht="15" customHeight="1" x14ac:dyDescent="0.25"/>
    <row r="23" spans="1:13" ht="15" customHeight="1" x14ac:dyDescent="0.25"/>
    <row r="30" spans="1:13" x14ac:dyDescent="0.25">
      <c r="A30" s="36"/>
    </row>
    <row r="33" spans="1:1" x14ac:dyDescent="0.25">
      <c r="A33" s="36"/>
    </row>
  </sheetData>
  <customSheetViews>
    <customSheetView guid="{005C429F-8448-44DF-83AD-8A930973E873}" topLeftCell="A4">
      <selection activeCell="O19" sqref="O19"/>
      <pageMargins left="0.7" right="0.7" top="0.75" bottom="0.75" header="0.3" footer="0.3"/>
      <pageSetup paperSize="9" scale="82" orientation="portrait" r:id="rId1"/>
    </customSheetView>
  </customSheetViews>
  <mergeCells count="37">
    <mergeCell ref="A19:D19"/>
    <mergeCell ref="E14:F14"/>
    <mergeCell ref="E15:F15"/>
    <mergeCell ref="E16:F16"/>
    <mergeCell ref="E17:F17"/>
    <mergeCell ref="E18:F18"/>
    <mergeCell ref="G15:H15"/>
    <mergeCell ref="G16:H16"/>
    <mergeCell ref="I15:J15"/>
    <mergeCell ref="E19:F19"/>
    <mergeCell ref="I19:J19"/>
    <mergeCell ref="G17:H17"/>
    <mergeCell ref="G18:H18"/>
    <mergeCell ref="G19:H19"/>
    <mergeCell ref="I16:J16"/>
    <mergeCell ref="I17:J17"/>
    <mergeCell ref="I18:J18"/>
    <mergeCell ref="G12:H12"/>
    <mergeCell ref="G13:H13"/>
    <mergeCell ref="I13:J13"/>
    <mergeCell ref="I14:J14"/>
    <mergeCell ref="E13:F13"/>
    <mergeCell ref="I12:J12"/>
    <mergeCell ref="E12:F12"/>
    <mergeCell ref="G14:H14"/>
    <mergeCell ref="I10:J10"/>
    <mergeCell ref="A8:D8"/>
    <mergeCell ref="B9:D9"/>
    <mergeCell ref="I8:J9"/>
    <mergeCell ref="G11:H11"/>
    <mergeCell ref="I11:J11"/>
    <mergeCell ref="E11:F11"/>
    <mergeCell ref="G8:H9"/>
    <mergeCell ref="E8:F9"/>
    <mergeCell ref="G10:H10"/>
    <mergeCell ref="A10:D10"/>
    <mergeCell ref="E10:F10"/>
  </mergeCells>
  <pageMargins left="0.7" right="0.7" top="0.75" bottom="0.75" header="0.3" footer="0.3"/>
  <pageSetup paperSize="9" scale="65" orientation="portrait" r:id="rId2"/>
  <ignoredErrors>
    <ignoredError sqref="K12 K14:K18 K13 K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</vt:lpstr>
      <vt:lpstr>Ph i rh po ekonomskoj klas. </vt:lpstr>
      <vt:lpstr>Rh i izdaci po izv fin,ek i pr </vt:lpstr>
      <vt:lpstr>Ph i rh po izvorima fin.</vt:lpstr>
      <vt:lpstr>'Ph i rh po ekonomskoj klas. 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Racunovodja</dc:creator>
  <cp:lastModifiedBy>Racunovodja</cp:lastModifiedBy>
  <cp:lastPrinted>2023-03-31T08:13:44Z</cp:lastPrinted>
  <dcterms:created xsi:type="dcterms:W3CDTF">2023-02-09T09:40:18Z</dcterms:created>
  <dcterms:modified xsi:type="dcterms:W3CDTF">2023-05-25T05:56:03Z</dcterms:modified>
</cp:coreProperties>
</file>