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ja\Desktop\Poslovanje\Fin. izvještaji, izvršenje, rebalans, trogodišnji planovi, plan nabave\Izvršenje plana\Godišnji\2022\"/>
    </mc:Choice>
  </mc:AlternateContent>
  <bookViews>
    <workbookView xWindow="0" yWindow="0" windowWidth="28800" windowHeight="12210" activeTab="2"/>
  </bookViews>
  <sheets>
    <sheet name="Opći dio" sheetId="1" r:id="rId1"/>
    <sheet name="Ph i rh po ekonomskoj klas. " sheetId="3" r:id="rId2"/>
    <sheet name="Rh i izdaci po izv fin,ek i pr " sheetId="2" r:id="rId3"/>
    <sheet name="Ph i rh po izvorima fin." sheetId="4" r:id="rId4"/>
  </sheets>
  <definedNames>
    <definedName name="_xlnm.Print_Area" localSheetId="1">'Ph i rh po ekonomskoj klas. '!$A$1:$P$121</definedName>
  </definedNames>
  <calcPr calcId="162913"/>
  <customWorkbookViews>
    <customWorkbookView name="Racunovodja - osobni prikaz" guid="{005C429F-8448-44DF-83AD-8A930973E873}" mergeInterval="0" personalView="1" maximized="1" xWindow="-8" yWindow="-8" windowWidth="1936" windowHeight="1048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N13" i="4"/>
  <c r="M12" i="4"/>
  <c r="I54" i="2"/>
  <c r="K54" i="2"/>
  <c r="M54" i="2"/>
  <c r="G54" i="2"/>
  <c r="G10" i="2" s="1"/>
  <c r="P58" i="2"/>
  <c r="O58" i="2"/>
  <c r="P60" i="2"/>
  <c r="O60" i="2"/>
  <c r="G11" i="2"/>
  <c r="M58" i="2"/>
  <c r="K58" i="2"/>
  <c r="I58" i="2"/>
  <c r="G58" i="2"/>
  <c r="I60" i="2"/>
  <c r="K60" i="2"/>
  <c r="M60" i="2"/>
  <c r="G60" i="2"/>
  <c r="P18" i="2"/>
  <c r="O17" i="2"/>
  <c r="P16" i="3"/>
  <c r="P12" i="3"/>
  <c r="O12" i="3"/>
  <c r="G38" i="1" l="1"/>
  <c r="I38" i="1"/>
  <c r="K38" i="1"/>
  <c r="E38" i="1"/>
  <c r="K22" i="1" l="1"/>
  <c r="K26" i="1" s="1"/>
  <c r="K25" i="1"/>
  <c r="G23" i="1" l="1"/>
  <c r="G19" i="1"/>
  <c r="I23" i="1"/>
  <c r="I85" i="3"/>
  <c r="I96" i="3"/>
  <c r="I69" i="3"/>
  <c r="I67" i="3"/>
  <c r="I68" i="3"/>
  <c r="I62" i="3"/>
  <c r="I64" i="3"/>
  <c r="I60" i="3"/>
  <c r="I120" i="3"/>
  <c r="I87" i="3"/>
  <c r="I72" i="3"/>
  <c r="I73" i="3"/>
  <c r="I70" i="3"/>
  <c r="I18" i="3"/>
  <c r="G35" i="4"/>
  <c r="G37" i="4"/>
  <c r="G33" i="4"/>
  <c r="G32" i="4"/>
  <c r="G34" i="4"/>
  <c r="G20" i="4"/>
  <c r="G18" i="4"/>
  <c r="G17" i="4"/>
  <c r="G16" i="4"/>
  <c r="G15" i="4"/>
  <c r="I111" i="2"/>
  <c r="K111" i="2"/>
  <c r="M111" i="2"/>
  <c r="I48" i="2"/>
  <c r="O122" i="2"/>
  <c r="P122" i="2"/>
  <c r="O120" i="2"/>
  <c r="P120" i="2"/>
  <c r="P118" i="2"/>
  <c r="O118" i="2"/>
  <c r="G114" i="2"/>
  <c r="I45" i="2"/>
  <c r="G102" i="3" l="1"/>
  <c r="I102" i="3"/>
  <c r="K102" i="3"/>
  <c r="M102" i="3"/>
  <c r="M100" i="3" s="1"/>
  <c r="O104" i="3"/>
  <c r="P104" i="3"/>
  <c r="E20" i="4"/>
  <c r="G18" i="3"/>
  <c r="G20" i="3"/>
  <c r="G23" i="3"/>
  <c r="G147" i="2" l="1"/>
  <c r="I147" i="2"/>
  <c r="K147" i="2"/>
  <c r="M147" i="2"/>
  <c r="P148" i="2"/>
  <c r="O148" i="2"/>
  <c r="K47" i="3"/>
  <c r="K26" i="3"/>
  <c r="K28" i="3"/>
  <c r="K24" i="3" s="1"/>
  <c r="K54" i="3"/>
  <c r="K18" i="3"/>
  <c r="K16" i="3" s="1"/>
  <c r="K49" i="3"/>
  <c r="M16" i="3"/>
  <c r="G24" i="3"/>
  <c r="I24" i="3"/>
  <c r="M24" i="3"/>
  <c r="P147" i="2" l="1"/>
  <c r="O147" i="2"/>
  <c r="K45" i="3"/>
  <c r="G22" i="4"/>
  <c r="P34" i="3"/>
  <c r="O26" i="3"/>
  <c r="E25" i="1"/>
  <c r="I24" i="1"/>
  <c r="K68" i="3"/>
  <c r="K64" i="3"/>
  <c r="K62" i="3"/>
  <c r="K60" i="3"/>
  <c r="K96" i="3"/>
  <c r="K69" i="3"/>
  <c r="K67" i="3"/>
  <c r="K84" i="3"/>
  <c r="K72" i="3"/>
  <c r="K106" i="3" l="1"/>
  <c r="K79" i="3"/>
  <c r="K85" i="3"/>
  <c r="K73" i="3"/>
  <c r="K114" i="3"/>
  <c r="K118" i="3"/>
  <c r="G22" i="1" l="1"/>
  <c r="G26" i="1" s="1"/>
  <c r="G39" i="1" s="1"/>
  <c r="M11" i="4" l="1"/>
  <c r="G39" i="4"/>
  <c r="I142" i="2" l="1"/>
  <c r="I130" i="2"/>
  <c r="I129" i="2" s="1"/>
  <c r="I124" i="2"/>
  <c r="I114" i="2"/>
  <c r="I110" i="2" s="1"/>
  <c r="I104" i="2"/>
  <c r="I103" i="2" s="1"/>
  <c r="I100" i="2"/>
  <c r="I97" i="2"/>
  <c r="I94" i="2"/>
  <c r="I84" i="2"/>
  <c r="I81" i="2"/>
  <c r="I79" i="2"/>
  <c r="I77" i="2"/>
  <c r="I67" i="2"/>
  <c r="I64" i="2"/>
  <c r="I55" i="2"/>
  <c r="I42" i="2"/>
  <c r="I37" i="2"/>
  <c r="I27" i="2"/>
  <c r="I20" i="2"/>
  <c r="I15" i="2"/>
  <c r="I119" i="3"/>
  <c r="I113" i="3"/>
  <c r="I110" i="3"/>
  <c r="I109" i="3" s="1"/>
  <c r="I106" i="3"/>
  <c r="I105" i="3" s="1"/>
  <c r="I100" i="3"/>
  <c r="I98" i="3"/>
  <c r="I97" i="3" s="1"/>
  <c r="I88" i="3"/>
  <c r="I78" i="3"/>
  <c r="I71" i="3"/>
  <c r="I66" i="3"/>
  <c r="I63" i="3"/>
  <c r="I61" i="3"/>
  <c r="I59" i="3"/>
  <c r="I53" i="3"/>
  <c r="I52" i="3" s="1"/>
  <c r="I51" i="3" s="1"/>
  <c r="I45" i="3"/>
  <c r="I43" i="3" s="1"/>
  <c r="I40" i="3"/>
  <c r="I38" i="3"/>
  <c r="I36" i="3" s="1"/>
  <c r="I32" i="3"/>
  <c r="I30" i="3" s="1"/>
  <c r="I22" i="3"/>
  <c r="I16" i="3"/>
  <c r="I14" i="3"/>
  <c r="I112" i="3" l="1"/>
  <c r="I108" i="3"/>
  <c r="I58" i="3"/>
  <c r="I65" i="3"/>
  <c r="I12" i="3"/>
  <c r="I11" i="3"/>
  <c r="I55" i="3" s="1"/>
  <c r="I14" i="2"/>
  <c r="I12" i="2" s="1"/>
  <c r="I11" i="2" s="1"/>
  <c r="I57" i="3" l="1"/>
  <c r="I121" i="3" s="1"/>
  <c r="I10" i="2"/>
  <c r="I25" i="1"/>
  <c r="K39" i="1"/>
  <c r="O139" i="2"/>
  <c r="P139" i="2"/>
  <c r="K140" i="2"/>
  <c r="M138" i="2"/>
  <c r="K138" i="2"/>
  <c r="M134" i="2"/>
  <c r="M130" i="2" s="1"/>
  <c r="K134" i="2"/>
  <c r="K130" i="2" s="1"/>
  <c r="O135" i="2"/>
  <c r="P135" i="2"/>
  <c r="G130" i="2"/>
  <c r="M114" i="2"/>
  <c r="K114" i="2"/>
  <c r="M124" i="2"/>
  <c r="K55" i="2"/>
  <c r="O54" i="3" l="1"/>
  <c r="P54" i="3"/>
  <c r="O138" i="2"/>
  <c r="P138" i="2"/>
  <c r="O140" i="2"/>
  <c r="P140" i="2"/>
  <c r="O136" i="2"/>
  <c r="P136" i="2"/>
  <c r="P143" i="2"/>
  <c r="P125" i="2"/>
  <c r="P123" i="2"/>
  <c r="O123" i="2"/>
  <c r="P121" i="2"/>
  <c r="O121" i="2"/>
  <c r="P119" i="2"/>
  <c r="O119" i="2"/>
  <c r="P117" i="2"/>
  <c r="O117" i="2"/>
  <c r="P113" i="2"/>
  <c r="O113" i="2"/>
  <c r="P112" i="2"/>
  <c r="P105" i="2"/>
  <c r="P101" i="2"/>
  <c r="P98" i="2"/>
  <c r="P95" i="2"/>
  <c r="P87" i="2"/>
  <c r="O87" i="2"/>
  <c r="P85" i="2"/>
  <c r="O85" i="2"/>
  <c r="P46" i="2"/>
  <c r="P56" i="2"/>
  <c r="P49" i="2"/>
  <c r="P43" i="2"/>
  <c r="G106" i="3"/>
  <c r="G105" i="3"/>
  <c r="P107" i="3"/>
  <c r="O107" i="3"/>
  <c r="M106" i="3"/>
  <c r="K105" i="3"/>
  <c r="P103" i="3"/>
  <c r="O103" i="3"/>
  <c r="K100" i="3"/>
  <c r="G100" i="3"/>
  <c r="M66" i="3"/>
  <c r="O24" i="3"/>
  <c r="P106" i="3" l="1"/>
  <c r="M105" i="3"/>
  <c r="O106" i="3"/>
  <c r="P102" i="3"/>
  <c r="O102" i="3"/>
  <c r="P28" i="3"/>
  <c r="P26" i="3"/>
  <c r="P105" i="3" l="1"/>
  <c r="O105" i="3"/>
  <c r="P100" i="3"/>
  <c r="O100" i="3"/>
  <c r="G22" i="3"/>
  <c r="G16" i="3"/>
  <c r="O16" i="3" s="1"/>
  <c r="O34" i="3"/>
  <c r="K32" i="3"/>
  <c r="K30" i="3" s="1"/>
  <c r="M32" i="3"/>
  <c r="G32" i="3"/>
  <c r="G30" i="3" s="1"/>
  <c r="O28" i="3"/>
  <c r="P24" i="3" l="1"/>
  <c r="E18" i="4"/>
  <c r="E22" i="4"/>
  <c r="O73" i="2"/>
  <c r="P73" i="2"/>
  <c r="G67" i="2"/>
  <c r="O72" i="2"/>
  <c r="P72" i="2"/>
  <c r="G64" i="2"/>
  <c r="O66" i="2"/>
  <c r="P66" i="2"/>
  <c r="O102" i="2"/>
  <c r="P102" i="2"/>
  <c r="M100" i="2"/>
  <c r="K100" i="2"/>
  <c r="G100" i="2"/>
  <c r="G81" i="2"/>
  <c r="G84" i="2"/>
  <c r="P100" i="2" l="1"/>
  <c r="O100" i="2"/>
  <c r="G111" i="2"/>
  <c r="E39" i="4" l="1"/>
  <c r="G15" i="2"/>
  <c r="K15" i="2"/>
  <c r="G20" i="2"/>
  <c r="K20" i="2"/>
  <c r="G27" i="2"/>
  <c r="K27" i="2"/>
  <c r="G37" i="2"/>
  <c r="K37" i="2"/>
  <c r="K14" i="2" l="1"/>
  <c r="G14" i="2"/>
  <c r="G12" i="2" s="1"/>
  <c r="P42" i="3"/>
  <c r="O42" i="3"/>
  <c r="P39" i="3"/>
  <c r="O39" i="3"/>
  <c r="O47" i="3"/>
  <c r="P47" i="3"/>
  <c r="O49" i="3"/>
  <c r="P49" i="3"/>
  <c r="P33" i="3"/>
  <c r="O33" i="3"/>
  <c r="P23" i="3"/>
  <c r="O23" i="3"/>
  <c r="O111" i="3"/>
  <c r="P111" i="3"/>
  <c r="O114" i="3"/>
  <c r="P114" i="3"/>
  <c r="O115" i="3"/>
  <c r="P115" i="3"/>
  <c r="O116" i="3"/>
  <c r="P116" i="3"/>
  <c r="O117" i="3"/>
  <c r="P117" i="3"/>
  <c r="O118" i="3"/>
  <c r="P118" i="3"/>
  <c r="O120" i="3"/>
  <c r="P120" i="3"/>
  <c r="P89" i="3"/>
  <c r="O89" i="3"/>
  <c r="O92" i="3"/>
  <c r="P92" i="3"/>
  <c r="O93" i="3"/>
  <c r="P93" i="3"/>
  <c r="O94" i="3"/>
  <c r="P94" i="3"/>
  <c r="O95" i="3"/>
  <c r="P95" i="3"/>
  <c r="O96" i="3"/>
  <c r="P96" i="3"/>
  <c r="O99" i="3"/>
  <c r="P99" i="3"/>
  <c r="P91" i="3"/>
  <c r="O91" i="3"/>
  <c r="O60" i="3"/>
  <c r="P60" i="3"/>
  <c r="O62" i="3"/>
  <c r="P62" i="3"/>
  <c r="O64" i="3"/>
  <c r="P64" i="3"/>
  <c r="O67" i="3"/>
  <c r="P67" i="3"/>
  <c r="O68" i="3"/>
  <c r="P68" i="3"/>
  <c r="O69" i="3"/>
  <c r="P69" i="3"/>
  <c r="O70" i="3"/>
  <c r="P70" i="3"/>
  <c r="O72" i="3"/>
  <c r="P72" i="3"/>
  <c r="O73" i="3"/>
  <c r="P73" i="3"/>
  <c r="O74" i="3"/>
  <c r="P74" i="3"/>
  <c r="O75" i="3"/>
  <c r="P75" i="3"/>
  <c r="O76" i="3"/>
  <c r="P76" i="3"/>
  <c r="O77" i="3"/>
  <c r="P77" i="3"/>
  <c r="O79" i="3"/>
  <c r="P79" i="3"/>
  <c r="O80" i="3"/>
  <c r="P80" i="3"/>
  <c r="O81" i="3"/>
  <c r="P81" i="3"/>
  <c r="O82" i="3"/>
  <c r="P82" i="3"/>
  <c r="O83" i="3"/>
  <c r="P83" i="3"/>
  <c r="O84" i="3"/>
  <c r="P84" i="3"/>
  <c r="O85" i="3"/>
  <c r="P85" i="3"/>
  <c r="O86" i="3"/>
  <c r="P86" i="3"/>
  <c r="O87" i="3"/>
  <c r="P87" i="3"/>
  <c r="K48" i="2"/>
  <c r="M48" i="2"/>
  <c r="G48" i="2"/>
  <c r="K45" i="2"/>
  <c r="M45" i="2"/>
  <c r="G45" i="2"/>
  <c r="K42" i="2"/>
  <c r="M42" i="2"/>
  <c r="O42" i="2" s="1"/>
  <c r="G42" i="2"/>
  <c r="K64" i="2"/>
  <c r="M64" i="2"/>
  <c r="O64" i="2" s="1"/>
  <c r="M55" i="2"/>
  <c r="G55" i="2"/>
  <c r="K67" i="2"/>
  <c r="M67" i="2"/>
  <c r="K77" i="2"/>
  <c r="M77" i="2"/>
  <c r="K79" i="2"/>
  <c r="M79" i="2"/>
  <c r="K81" i="2"/>
  <c r="M81" i="2"/>
  <c r="G79" i="2"/>
  <c r="G77" i="2"/>
  <c r="K84" i="2"/>
  <c r="M84" i="2"/>
  <c r="K94" i="2"/>
  <c r="M94" i="2"/>
  <c r="G94" i="2"/>
  <c r="K97" i="2"/>
  <c r="M97" i="2"/>
  <c r="O97" i="2" s="1"/>
  <c r="G97" i="2"/>
  <c r="K104" i="2"/>
  <c r="M104" i="2"/>
  <c r="G104" i="2"/>
  <c r="G103" i="2" s="1"/>
  <c r="K124" i="2"/>
  <c r="G124" i="2"/>
  <c r="G110" i="2" s="1"/>
  <c r="O130" i="2"/>
  <c r="G142" i="2"/>
  <c r="M142" i="2"/>
  <c r="K142" i="2"/>
  <c r="P127" i="2"/>
  <c r="P128" i="2"/>
  <c r="O127" i="2"/>
  <c r="O128" i="2"/>
  <c r="P126" i="2"/>
  <c r="O126" i="2"/>
  <c r="P107" i="2"/>
  <c r="P108" i="2"/>
  <c r="P109" i="2"/>
  <c r="P106" i="2"/>
  <c r="O107" i="2"/>
  <c r="O108" i="2"/>
  <c r="O109" i="2"/>
  <c r="O106" i="2"/>
  <c r="K12" i="2"/>
  <c r="P99" i="2"/>
  <c r="O99" i="2"/>
  <c r="P96" i="2"/>
  <c r="O96" i="2"/>
  <c r="P62" i="2"/>
  <c r="P63" i="2"/>
  <c r="P65" i="2"/>
  <c r="P68" i="2"/>
  <c r="P69" i="2"/>
  <c r="P70" i="2"/>
  <c r="P71" i="2"/>
  <c r="P74" i="2"/>
  <c r="P75" i="2"/>
  <c r="P76" i="2"/>
  <c r="P78" i="2"/>
  <c r="P80" i="2"/>
  <c r="P82" i="2"/>
  <c r="P83" i="2"/>
  <c r="P86" i="2"/>
  <c r="P88" i="2"/>
  <c r="P89" i="2"/>
  <c r="P90" i="2"/>
  <c r="P91" i="2"/>
  <c r="P92" i="2"/>
  <c r="P93" i="2"/>
  <c r="O62" i="2"/>
  <c r="O63" i="2"/>
  <c r="O65" i="2"/>
  <c r="O68" i="2"/>
  <c r="O69" i="2"/>
  <c r="O70" i="2"/>
  <c r="O71" i="2"/>
  <c r="O74" i="2"/>
  <c r="O75" i="2"/>
  <c r="O76" i="2"/>
  <c r="O78" i="2"/>
  <c r="O80" i="2"/>
  <c r="O82" i="2"/>
  <c r="O83" i="2"/>
  <c r="O86" i="2"/>
  <c r="O88" i="2"/>
  <c r="O89" i="2"/>
  <c r="O90" i="2"/>
  <c r="O91" i="2"/>
  <c r="O92" i="2"/>
  <c r="O93" i="2"/>
  <c r="P61" i="2"/>
  <c r="O61" i="2"/>
  <c r="P137" i="2"/>
  <c r="P141" i="2"/>
  <c r="P134" i="2"/>
  <c r="O137" i="2"/>
  <c r="O141" i="2"/>
  <c r="O134" i="2"/>
  <c r="P145" i="2"/>
  <c r="P144" i="2"/>
  <c r="O145" i="2"/>
  <c r="O144" i="2"/>
  <c r="P57" i="2"/>
  <c r="O57" i="2"/>
  <c r="P51" i="2"/>
  <c r="P52" i="2"/>
  <c r="P53" i="2"/>
  <c r="P50" i="2"/>
  <c r="O51" i="2"/>
  <c r="O52" i="2"/>
  <c r="O53" i="2"/>
  <c r="O50" i="2"/>
  <c r="P47" i="2"/>
  <c r="O47" i="2"/>
  <c r="P44" i="2"/>
  <c r="O44" i="2"/>
  <c r="P18" i="3"/>
  <c r="P20" i="3"/>
  <c r="O18" i="3"/>
  <c r="O20" i="3"/>
  <c r="O15" i="3"/>
  <c r="P15" i="3"/>
  <c r="I22" i="1"/>
  <c r="I26" i="1" s="1"/>
  <c r="I39" i="1" s="1"/>
  <c r="O45" i="2" l="1"/>
  <c r="O94" i="2"/>
  <c r="O55" i="2"/>
  <c r="O48" i="2"/>
  <c r="O124" i="2"/>
  <c r="O142" i="2"/>
  <c r="P142" i="2"/>
  <c r="P130" i="2"/>
  <c r="P124" i="2"/>
  <c r="M103" i="2"/>
  <c r="O103" i="2" s="1"/>
  <c r="O104" i="2"/>
  <c r="P104" i="2"/>
  <c r="K103" i="2"/>
  <c r="P97" i="2"/>
  <c r="P94" i="2"/>
  <c r="P84" i="2"/>
  <c r="O84" i="2"/>
  <c r="O81" i="2"/>
  <c r="P81" i="2"/>
  <c r="P79" i="2"/>
  <c r="O79" i="2"/>
  <c r="P77" i="2"/>
  <c r="O77" i="2"/>
  <c r="P67" i="2"/>
  <c r="O67" i="2"/>
  <c r="P64" i="2"/>
  <c r="P55" i="2"/>
  <c r="P48" i="2"/>
  <c r="P45" i="2"/>
  <c r="P42" i="2"/>
  <c r="K129" i="2"/>
  <c r="M129" i="2"/>
  <c r="G129" i="2"/>
  <c r="K11" i="2"/>
  <c r="M27" i="2"/>
  <c r="O27" i="2" s="1"/>
  <c r="M37" i="2"/>
  <c r="P37" i="2" s="1"/>
  <c r="M20" i="2"/>
  <c r="P20" i="2" s="1"/>
  <c r="M15" i="2"/>
  <c r="P16" i="2"/>
  <c r="P17" i="2"/>
  <c r="P19" i="2"/>
  <c r="P21" i="2"/>
  <c r="P22" i="2"/>
  <c r="P23" i="2"/>
  <c r="P24" i="2"/>
  <c r="P25" i="2"/>
  <c r="P26" i="2"/>
  <c r="P28" i="2"/>
  <c r="P29" i="2"/>
  <c r="P30" i="2"/>
  <c r="P31" i="2"/>
  <c r="P32" i="2"/>
  <c r="P33" i="2"/>
  <c r="P34" i="2"/>
  <c r="P35" i="2"/>
  <c r="P36" i="2"/>
  <c r="P38" i="2"/>
  <c r="P39" i="2"/>
  <c r="P40" i="2"/>
  <c r="P41" i="2"/>
  <c r="O16" i="2"/>
  <c r="O18" i="2"/>
  <c r="O19" i="2"/>
  <c r="O21" i="2"/>
  <c r="O22" i="2"/>
  <c r="O23" i="2"/>
  <c r="O24" i="2"/>
  <c r="O25" i="2"/>
  <c r="O26" i="2"/>
  <c r="O28" i="2"/>
  <c r="O29" i="2"/>
  <c r="O30" i="2"/>
  <c r="O31" i="2"/>
  <c r="O32" i="2"/>
  <c r="O33" i="2"/>
  <c r="O34" i="2"/>
  <c r="O35" i="2"/>
  <c r="O36" i="2"/>
  <c r="O38" i="2"/>
  <c r="O39" i="2"/>
  <c r="O40" i="2"/>
  <c r="O41" i="2"/>
  <c r="K33" i="4"/>
  <c r="K18" i="4"/>
  <c r="K20" i="4"/>
  <c r="O54" i="2" l="1"/>
  <c r="P15" i="2"/>
  <c r="O15" i="2"/>
  <c r="O129" i="2"/>
  <c r="P129" i="2"/>
  <c r="O114" i="2"/>
  <c r="P114" i="2"/>
  <c r="P103" i="2"/>
  <c r="P54" i="2"/>
  <c r="P27" i="2"/>
  <c r="O37" i="2"/>
  <c r="O20" i="2"/>
  <c r="M14" i="2"/>
  <c r="M12" i="2" s="1"/>
  <c r="K21" i="4"/>
  <c r="M21" i="4" s="1"/>
  <c r="N11" i="4"/>
  <c r="M11" i="2" l="1"/>
  <c r="O11" i="2" s="1"/>
  <c r="P12" i="2"/>
  <c r="O12" i="2"/>
  <c r="M110" i="2"/>
  <c r="O110" i="2" s="1"/>
  <c r="O111" i="2"/>
  <c r="K110" i="2"/>
  <c r="P111" i="2"/>
  <c r="O14" i="2"/>
  <c r="P14" i="2"/>
  <c r="K39" i="4"/>
  <c r="M39" i="4" s="1"/>
  <c r="I3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N29" i="4"/>
  <c r="M29" i="4"/>
  <c r="N28" i="4"/>
  <c r="M28" i="4"/>
  <c r="M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N21" i="4"/>
  <c r="N12" i="4"/>
  <c r="I22" i="4"/>
  <c r="K22" i="4"/>
  <c r="P11" i="2" l="1"/>
  <c r="M10" i="2"/>
  <c r="O10" i="2" s="1"/>
  <c r="M22" i="4"/>
  <c r="N22" i="4"/>
  <c r="P110" i="2"/>
  <c r="K10" i="2"/>
  <c r="N39" i="4"/>
  <c r="P10" i="2" l="1"/>
  <c r="K98" i="3"/>
  <c r="K97" i="3" s="1"/>
  <c r="M98" i="3"/>
  <c r="K110" i="3"/>
  <c r="K109" i="3" s="1"/>
  <c r="M110" i="3"/>
  <c r="K113" i="3"/>
  <c r="M113" i="3"/>
  <c r="K119" i="3"/>
  <c r="M119" i="3"/>
  <c r="K88" i="3"/>
  <c r="K59" i="3"/>
  <c r="M59" i="3"/>
  <c r="M58" i="3" s="1"/>
  <c r="K61" i="3"/>
  <c r="M61" i="3"/>
  <c r="K63" i="3"/>
  <c r="M63" i="3"/>
  <c r="K66" i="3"/>
  <c r="K71" i="3"/>
  <c r="M71" i="3"/>
  <c r="K78" i="3"/>
  <c r="M78" i="3"/>
  <c r="M88" i="3"/>
  <c r="G119" i="3"/>
  <c r="G113" i="3"/>
  <c r="G110" i="3"/>
  <c r="G109" i="3" s="1"/>
  <c r="G98" i="3"/>
  <c r="G97" i="3" s="1"/>
  <c r="G88" i="3"/>
  <c r="G78" i="3"/>
  <c r="G71" i="3"/>
  <c r="G66" i="3"/>
  <c r="G63" i="3"/>
  <c r="O63" i="3" s="1"/>
  <c r="G61" i="3"/>
  <c r="G59" i="3"/>
  <c r="K112" i="3" l="1"/>
  <c r="K108" i="3" s="1"/>
  <c r="K58" i="3"/>
  <c r="P63" i="3"/>
  <c r="M112" i="3"/>
  <c r="O113" i="3"/>
  <c r="P113" i="3"/>
  <c r="K65" i="3"/>
  <c r="O88" i="3"/>
  <c r="P88" i="3"/>
  <c r="O71" i="3"/>
  <c r="P71" i="3"/>
  <c r="M109" i="3"/>
  <c r="O110" i="3"/>
  <c r="P110" i="3"/>
  <c r="O98" i="3"/>
  <c r="P98" i="3"/>
  <c r="P78" i="3"/>
  <c r="O78" i="3"/>
  <c r="O119" i="3"/>
  <c r="P119" i="3"/>
  <c r="O61" i="3"/>
  <c r="P61" i="3"/>
  <c r="P59" i="3"/>
  <c r="O59" i="3"/>
  <c r="M97" i="3"/>
  <c r="M65" i="3"/>
  <c r="O66" i="3"/>
  <c r="P66" i="3"/>
  <c r="G112" i="3"/>
  <c r="G108" i="3" s="1"/>
  <c r="G65" i="3"/>
  <c r="G58" i="3"/>
  <c r="K53" i="3"/>
  <c r="K52" i="3" s="1"/>
  <c r="K51" i="3" s="1"/>
  <c r="M53" i="3"/>
  <c r="K43" i="3"/>
  <c r="M45" i="3"/>
  <c r="K40" i="3"/>
  <c r="M40" i="3"/>
  <c r="K38" i="3"/>
  <c r="M38" i="3"/>
  <c r="K22" i="3"/>
  <c r="M22" i="3"/>
  <c r="K14" i="3"/>
  <c r="K12" i="3" s="1"/>
  <c r="M14" i="3"/>
  <c r="M12" i="3" s="1"/>
  <c r="G53" i="3"/>
  <c r="G52" i="3" s="1"/>
  <c r="G51" i="3" s="1"/>
  <c r="G45" i="3"/>
  <c r="G43" i="3" s="1"/>
  <c r="G40" i="3"/>
  <c r="G38" i="3"/>
  <c r="G14" i="3"/>
  <c r="G12" i="3" s="1"/>
  <c r="M57" i="3" l="1"/>
  <c r="O58" i="3"/>
  <c r="G57" i="3"/>
  <c r="K57" i="3"/>
  <c r="K121" i="3" s="1"/>
  <c r="P58" i="3"/>
  <c r="M108" i="3"/>
  <c r="P108" i="3" s="1"/>
  <c r="P22" i="3"/>
  <c r="O97" i="3"/>
  <c r="P97" i="3"/>
  <c r="O22" i="3"/>
  <c r="M30" i="3"/>
  <c r="P32" i="3"/>
  <c r="O32" i="3"/>
  <c r="P53" i="3"/>
  <c r="O53" i="3"/>
  <c r="M36" i="3"/>
  <c r="P38" i="3"/>
  <c r="O38" i="3"/>
  <c r="P109" i="3"/>
  <c r="O109" i="3"/>
  <c r="P40" i="3"/>
  <c r="O40" i="3"/>
  <c r="O14" i="3"/>
  <c r="P14" i="3"/>
  <c r="M43" i="3"/>
  <c r="O45" i="3"/>
  <c r="P45" i="3"/>
  <c r="O112" i="3"/>
  <c r="P112" i="3"/>
  <c r="P65" i="3"/>
  <c r="O65" i="3"/>
  <c r="M52" i="3"/>
  <c r="K36" i="3"/>
  <c r="K11" i="3" s="1"/>
  <c r="K55" i="3" s="1"/>
  <c r="G36" i="3"/>
  <c r="G11" i="3" s="1"/>
  <c r="E22" i="1"/>
  <c r="E26" i="1" s="1"/>
  <c r="E39" i="1" s="1"/>
  <c r="M121" i="3" l="1"/>
  <c r="O108" i="3"/>
  <c r="P36" i="3"/>
  <c r="O36" i="3"/>
  <c r="M11" i="3"/>
  <c r="P43" i="3"/>
  <c r="O43" i="3"/>
  <c r="P30" i="3"/>
  <c r="O30" i="3"/>
  <c r="P57" i="3"/>
  <c r="P52" i="3"/>
  <c r="O52" i="3"/>
  <c r="O57" i="3"/>
  <c r="G121" i="3"/>
  <c r="M51" i="3"/>
  <c r="P121" i="3" l="1"/>
  <c r="O121" i="3"/>
  <c r="P11" i="3"/>
  <c r="O11" i="3"/>
  <c r="M55" i="3"/>
  <c r="P51" i="3"/>
  <c r="O51" i="3"/>
  <c r="G55" i="3"/>
  <c r="O55" i="3" l="1"/>
  <c r="P55" i="3"/>
</calcChain>
</file>

<file path=xl/comments1.xml><?xml version="1.0" encoding="utf-8"?>
<comments xmlns="http://schemas.openxmlformats.org/spreadsheetml/2006/main">
  <authors>
    <author>Racunovodja</author>
  </authors>
  <commentList>
    <comment ref="K33" authorId="0" shapeId="0">
      <text>
        <r>
          <rPr>
            <b/>
            <sz val="9"/>
            <color indexed="81"/>
            <rFont val="Segoe UI"/>
            <family val="2"/>
            <charset val="238"/>
          </rPr>
          <t>Racunovodja:</t>
        </r>
        <r>
          <rPr>
            <sz val="9"/>
            <color indexed="81"/>
            <rFont val="Segoe UI"/>
            <family val="2"/>
            <charset val="238"/>
          </rPr>
          <t xml:space="preserve">
blagajna 5.506,05 kn</t>
        </r>
      </text>
    </comment>
  </commentList>
</comments>
</file>

<file path=xl/sharedStrings.xml><?xml version="1.0" encoding="utf-8"?>
<sst xmlns="http://schemas.openxmlformats.org/spreadsheetml/2006/main" count="364" uniqueCount="221">
  <si>
    <t>Na temelju Zakona o proračunu ("Narodne novine" broj 87/08, 136/12 i 15/15) i Pravilnika o polugodišnjem i godišnjem izvještaju o izvršenju proračuna ("Narodne novine" 24/13, 102/17 i 1/20) HOTELIJERSKO – TURISTIČKA I UGOSTITELJSKA ŠKOLA ZADAR podnosi školskom odboru:</t>
  </si>
  <si>
    <t>GODIŠNJI IZVJEŠTAJ O IZVRŠENJU FINANCIJSKOG PLANA ZA 2022. GODINU</t>
  </si>
  <si>
    <t>I. OPĆI DIO</t>
  </si>
  <si>
    <t>Financijski plan Hotelijersko – turističke i ugostiteljske škole za 2022. godinu</t>
  </si>
  <si>
    <t>A. RAČUN PRIHODA I RASHODA</t>
  </si>
  <si>
    <t>PRIHODI I RASHODI</t>
  </si>
  <si>
    <t>6 Prihodi poslovanja</t>
  </si>
  <si>
    <t>7 Prihodi od prodaje nefinancijske imovine</t>
  </si>
  <si>
    <t>PRIHODI UKUPNO</t>
  </si>
  <si>
    <t>3 Rashodi poslovanja</t>
  </si>
  <si>
    <t>4 Rashodi za nabavu nefinancijske imovine</t>
  </si>
  <si>
    <t>RASHODI UKUPNO</t>
  </si>
  <si>
    <t>Razlika – višak/ manjak</t>
  </si>
  <si>
    <t>B. RAČUN FINANCIRANJA</t>
  </si>
  <si>
    <t>Oznaka</t>
  </si>
  <si>
    <t>5 Izdaci za financijsku imovinu i otplate zajmova</t>
  </si>
  <si>
    <t>8 Primici od financijske imovine i zaduživanja</t>
  </si>
  <si>
    <t>Neto zaduživanje/ financiranje</t>
  </si>
  <si>
    <t>Višak/ manjak iz prethodnih godina</t>
  </si>
  <si>
    <t>9 Preneseni višak prethodnih godina</t>
  </si>
  <si>
    <t>C. RASPOLOŽIVA SREDSTVA IZ PRETHODIH GODINA</t>
  </si>
  <si>
    <t>Višak/ manjak + neto financiranje + raspoloživa sredstva iz prethodnih godina</t>
  </si>
  <si>
    <t>Ostvarenje/ izvršenje 2021.</t>
  </si>
  <si>
    <t>Ostvarenje/ izvršenje 2022.</t>
  </si>
  <si>
    <t>Antuna Gustava Matoša 40, 23000 Zadar</t>
  </si>
  <si>
    <t>OIB: 91757782000 // RKP: 19773</t>
  </si>
  <si>
    <t>Hotelijersko – turistička i ugostiteljska škola Zadar</t>
  </si>
  <si>
    <t>GODIŠNJI IZVJEŠTAJ O IZVRŠENJU FINANCIJSKOG PLANA 2022. PREMA EKONOMSKOJ KLASIFIKACIJI, PROGRAMIMA TE IZVORIMA FINANCIRANJA</t>
  </si>
  <si>
    <t>Glava: 030-05 SREDNJOŠKOLSKO OBRAZOVANJE</t>
  </si>
  <si>
    <t>Aktivnost: A2204-01 Djelatnost srednjih škola</t>
  </si>
  <si>
    <t>Izvor financiranje: 451 F.P. i dodatni udio u porezu na dohodak</t>
  </si>
  <si>
    <t>GODIŠNJI IZVJEŠTAJ O IZVRŠENJU FINANCIJSKOG PLANA 2022. PREMA EKONOMSKOJ KLASIFIKACIJI</t>
  </si>
  <si>
    <t>OPĆI DIO</t>
  </si>
  <si>
    <t>Brojčana oznaka i naziv računa prihoda i rashoda</t>
  </si>
  <si>
    <t>Pomoći iz inozemstva i od subjekata unutar općeg proračuna</t>
  </si>
  <si>
    <t>Pomoći od izvanproračunskih korisnika</t>
  </si>
  <si>
    <t>Tekuće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</si>
  <si>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</si>
  <si>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</si>
  <si>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</si>
  <si>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</si>
  <si>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</si>
  <si>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</si>
  <si>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</si>
  <si>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</si>
  <si>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</si>
  <si>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</si>
  <si>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</si>
  <si>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</si>
  <si>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VLASTITI IZVORI</t>
  </si>
  <si>
    <t>Pomoći temeljem prijenosa EU sredstava</t>
  </si>
  <si>
    <t>Prihodi od prodaje proizvoda i robe te pruženih usluga i prihodi od donacija</t>
  </si>
  <si>
    <t>Donacije od pravnih i fizičkih osoba izvan općeg proračuna</t>
  </si>
  <si>
    <t>Prihodi iz nadležnog proračuna za financiranje rashoda za nabavu nefinancijske imovine</t>
  </si>
  <si>
    <t>Rezultat poslovanja</t>
  </si>
  <si>
    <t>Višak prihoda</t>
  </si>
  <si>
    <t>Višak/manjak prihoda</t>
  </si>
  <si>
    <t>Izvršenje 2022.</t>
  </si>
  <si>
    <t>Indeks</t>
  </si>
  <si>
    <t>PRIHODI POSLOVANJA</t>
  </si>
  <si>
    <t>SVEUKUPNO PRIHOD + VIŠAK PRIHODA</t>
  </si>
  <si>
    <t>RASHODI POSLOVANJA</t>
  </si>
  <si>
    <t>SVEUKUPNO RASHODI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</si>
  <si>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</si>
  <si>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</si>
  <si>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</si>
  <si>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</si>
  <si>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</si>
  <si>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</si>
  <si>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</si>
  <si>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</si>
  <si>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</si>
  <si>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</si>
  <si>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</si>
  <si>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</si>
  <si>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</si>
  <si>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</si>
  <si>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</si>
  <si>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</si>
  <si>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</si>
  <si>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</si>
  <si>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</si>
  <si>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</si>
  <si>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</si>
  <si>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</si>
  <si>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</si>
  <si>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</si>
  <si>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</si>
  <si>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</si>
  <si>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</si>
  <si>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</si>
  <si>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</si>
  <si>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</si>
  <si>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</si>
  <si>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</si>
  <si>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</si>
  <si>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Zatezne kamate</t>
  </si>
  <si>
    <t>Rashodi za nabavu neproizvedene dugotrajne imovine</t>
  </si>
  <si>
    <t>Nematerijalna imovina</t>
  </si>
  <si>
    <t>Licence</t>
  </si>
  <si>
    <t>Rashodi za nabavu proizvedene dugotrajne imovine</t>
  </si>
  <si>
    <t>Postrojenja i oprema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</si>
  <si>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</si>
  <si>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</si>
  <si>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</si>
  <si>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</si>
  <si>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</si>
  <si>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RASHODI ZA NABAVU NEFINANCIJSKE IMOVINE</t>
  </si>
  <si>
    <t>Ostale naknade troškova zaposlenima</t>
  </si>
  <si>
    <t>Materijal i sirovine</t>
  </si>
  <si>
    <t>Komunalne usluge</t>
  </si>
  <si>
    <t>Usluge promidžbe i informiranja</t>
  </si>
  <si>
    <t>Članarine i norme</t>
  </si>
  <si>
    <t>Ostali financijski rashodi</t>
  </si>
  <si>
    <t>Uredska oprema i namještaj</t>
  </si>
  <si>
    <t>Komunikacijska oprema</t>
  </si>
  <si>
    <t>MATERIJALNI RASHODI</t>
  </si>
  <si>
    <t>NAKNADE TROŠKOVA ZAPOSLENICIMA</t>
  </si>
  <si>
    <t>Naknade za prijevoz na posao i s posla</t>
  </si>
  <si>
    <t>Materijali  i sirovine</t>
  </si>
  <si>
    <t>Materijali i dijelovi za tekuće i investicijsko održavanje</t>
  </si>
  <si>
    <t>RASHODI ZA USLUGE</t>
  </si>
  <si>
    <t>Laboratorijske usluge</t>
  </si>
  <si>
    <t>Tekuće donacije građanima I kućanstvima</t>
  </si>
  <si>
    <t>Računala i računalna oprema</t>
  </si>
  <si>
    <t>Doprinosi za OZO</t>
  </si>
  <si>
    <t>Naknada za prijevoz</t>
  </si>
  <si>
    <t>Oprema</t>
  </si>
  <si>
    <t>OSTALI NESPOMENUTI RASHODI POSLOVANJA</t>
  </si>
  <si>
    <t>Izvor financiranje: 121 Višak/manjakprihoda - ZŽ</t>
  </si>
  <si>
    <t>Kapitalni projekt: K2204-02 Opremanje poslovnih prostorija</t>
  </si>
  <si>
    <t>Tekući projekt: T2204-04 Hitne intervencije u srednjim školama</t>
  </si>
  <si>
    <t>Aktivnost: A2204-07 Administracija i upravljanje</t>
  </si>
  <si>
    <t>Izvor financiranje: 51036 Državni proračun</t>
  </si>
  <si>
    <t>Novčana nak. posl. zbog nezapošljavanje osobe s inv.</t>
  </si>
  <si>
    <t>Program: 2204 SREDNJE ŠKOLSTVO – STANDARD</t>
  </si>
  <si>
    <t>Program: 2205 SREDNJE ŠKOLSTVO – IZNAD STANDARD</t>
  </si>
  <si>
    <t>Aktivnost: A2205-01 Javne potrebe u prosvjeti - korisnici u SŠ</t>
  </si>
  <si>
    <t>Izvor financiranje: 110 Opći prihodi i primici</t>
  </si>
  <si>
    <t>Aktivnost: A2205-12 Podizanje kvalitete i standarda u školstvu</t>
  </si>
  <si>
    <t>Izvor financiranje: 5103 Državni proračun</t>
  </si>
  <si>
    <t>Plaće po sudskim presudama</t>
  </si>
  <si>
    <t>Naknade predst. i izvršnim tijelima povjerenstav i sl.</t>
  </si>
  <si>
    <t>Knjge</t>
  </si>
  <si>
    <t>Izvor financiranje: 41 Prihodi za posebne namjene</t>
  </si>
  <si>
    <t>Izvor financiranje: 53 Proračun JLS</t>
  </si>
  <si>
    <t>Izvor financiranje: 61 Tekuće donacije – korisnici</t>
  </si>
  <si>
    <t>Izvor financiranje: 31 Vlastiti prihodi - korisnici</t>
  </si>
  <si>
    <t>Sitan inventar i auto gume</t>
  </si>
  <si>
    <t>Izvor financiranje: 42035 Višak prihoda poslovanja</t>
  </si>
  <si>
    <t>Izvor financiranje: 51037 Državni proračun</t>
  </si>
  <si>
    <t>Aktivnost: A2205-13 Financiranje deficitarnih zanimanja</t>
  </si>
  <si>
    <t>Udžbenici deficitarna zanimanja</t>
  </si>
  <si>
    <t>Aktivnost: A2205-22 Natjecanja i smotre u SŠ</t>
  </si>
  <si>
    <t>Ostali nespomenuti rashodi</t>
  </si>
  <si>
    <t>Program: 4301 RAZVOJNI PROJEKT EU</t>
  </si>
  <si>
    <t>Tekući projekt: T4301-67 Projekt Pomoćnici u nastavi</t>
  </si>
  <si>
    <t>Doprinosi za plaće</t>
  </si>
  <si>
    <t>Program: 4302 PROJEKTI EU</t>
  </si>
  <si>
    <t>Program: 4306 NACIONALNI EU PROJEKTI</t>
  </si>
  <si>
    <t>Tekući projekt: T4306-03 Inkluzija – korak bliže društvu bez prepreka 2021./2022.</t>
  </si>
  <si>
    <t>Naknade za prijevoz</t>
  </si>
  <si>
    <t>Tekući projekt: T4306-16 Projekt Erasmus+ Različiti zajedno</t>
  </si>
  <si>
    <t>Tekući projekt: T4302-90 Projekt Erasmus+ Luna</t>
  </si>
  <si>
    <t>Izvor financiranje: 540231 Pomoći iz inozemstva</t>
  </si>
  <si>
    <t>Stručna usavršavanja</t>
  </si>
  <si>
    <t>Izvršenje 2021.</t>
  </si>
  <si>
    <t xml:space="preserve">Prihodi za posebne namjene </t>
  </si>
  <si>
    <t>GODIŠNJI IZVJEŠTAJ O IZVRŠENJU FINANCIJSKOG PLANA 2022. PREMA IZVORIMA FINANCIRANJA</t>
  </si>
  <si>
    <t>UKUPNO</t>
  </si>
  <si>
    <t>Opći prihodi i primici</t>
  </si>
  <si>
    <t>Višak/manjak prihoda - ZŽ</t>
  </si>
  <si>
    <t>Predfinanciranje iz ŽP</t>
  </si>
  <si>
    <t>Vlastiti prihodi - korisnici</t>
  </si>
  <si>
    <t>Višak/manjak prihoda korisnici</t>
  </si>
  <si>
    <t>F.P. i dod. udio u por. na dohodak</t>
  </si>
  <si>
    <t>Državni proračun</t>
  </si>
  <si>
    <t>Proračun JLS</t>
  </si>
  <si>
    <t>Pomoći iz inozemstva</t>
  </si>
  <si>
    <t>Tekuće donacije - korisnici</t>
  </si>
  <si>
    <t>PRIHODI PO IZVORIMA FINANCIRANJA</t>
  </si>
  <si>
    <t>šifra:</t>
  </si>
  <si>
    <t>Izvor financiranja:</t>
  </si>
  <si>
    <t>RASHODI</t>
  </si>
  <si>
    <t>Tekući projekt: T4302-34 Projekt Cooking Tour@Zadar - HTU</t>
  </si>
  <si>
    <t>Tekući projekt: T4302-52 Projekt od mjere do karijere - Pripravništvo</t>
  </si>
  <si>
    <t>Plaća za zaposlene</t>
  </si>
  <si>
    <t>IF 42</t>
  </si>
  <si>
    <t>IF 51</t>
  </si>
  <si>
    <t>Dopirnosi za OZO</t>
  </si>
  <si>
    <t>Prijevoz na posao i s posla</t>
  </si>
  <si>
    <t>Izvor financiranja: 540118 Pomoći iz inozemstva</t>
  </si>
  <si>
    <t>IF 54</t>
  </si>
  <si>
    <t>IF 19</t>
  </si>
  <si>
    <t>IF 11</t>
  </si>
  <si>
    <t>Aktivnost: A2205-27 Udžbenici</t>
  </si>
  <si>
    <t>Udžbenici</t>
  </si>
  <si>
    <t>Prijenosi između proračunskih korisnika istog proračuna</t>
  </si>
  <si>
    <t>Tekući prijenosi između proračunskih korisnika istog proračuna temeljem prijenosa EU sredstava</t>
  </si>
  <si>
    <t>Prihodi od novčane naknade poslodavca zbog nezapošljavanja osoba s invaliditetom</t>
  </si>
  <si>
    <t>Tekući prijenosi između proračunskih korisnika istog proračuna</t>
  </si>
  <si>
    <t>Naknade građanima i kućanstvima na temelju osiguranja i druge nakanade</t>
  </si>
  <si>
    <t>Ostale naknade građanima i kućanstvima iz proračuna</t>
  </si>
  <si>
    <t>Naknade građanima i kućanstvima u novcu</t>
  </si>
  <si>
    <t>Ostali rashodi</t>
  </si>
  <si>
    <t>Tekuće donacije u novcu</t>
  </si>
  <si>
    <t xml:space="preserve">Izvor financiranje: 190062, 195062, 110, 51038, 540099 - </t>
  </si>
  <si>
    <t>Dopirnosi na plaće</t>
  </si>
  <si>
    <t>Tekući plan 2022.</t>
  </si>
  <si>
    <r>
      <t>5/2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</si>
  <si>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r>
      <t>5/3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</si>
  <si>
    <t>Izvorni plan 2022.</t>
  </si>
  <si>
    <t>Izvorni financijski plan 2022.</t>
  </si>
  <si>
    <t>Tekući financijski plan 2022.</t>
  </si>
  <si>
    <t>Izvor financiranje: Blagajna</t>
  </si>
  <si>
    <t>Naknade građanima i kućanstvima u naravi</t>
  </si>
  <si>
    <t>Predfinanciranje iz ŽP, Opći prihodi i primici Državni proračun, Pomoći iz</t>
  </si>
  <si>
    <t>inozemstva</t>
  </si>
  <si>
    <t xml:space="preserve">Izvor financiranja: 42035, 5103 - Višak prihoda, Državni proračun, </t>
  </si>
  <si>
    <t>540139 - HZZ - Projekt Pripravništvo</t>
  </si>
  <si>
    <r>
      <t>5/4</t>
    </r>
    <r>
      <rPr>
        <b/>
        <sz val="11"/>
        <color theme="4" tint="0.39997558519241921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</si>
</sst>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??/1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 tint="0.3999755851924192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/>
    </xf>
    <xf numFmtId="164" fontId="1" fillId="2" borderId="38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64" fontId="1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0" fillId="0" borderId="0" xfId="0" applyNumberFormat="1"/>
    <xf numFmtId="0" fontId="7" fillId="2" borderId="21" xfId="0" applyFont="1" applyFill="1" applyBorder="1" applyAlignment="1">
      <alignment horizontal="right" vertical="center" wrapText="1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0" xfId="0" applyNumberFormat="1" applyAlignment="1">
      <alignment horizontal="center"/>
    </xf>
    <xf numFmtId="4" fontId="1" fillId="0" borderId="21" xfId="0" applyNumberFormat="1" applyFont="1" applyBorder="1" applyAlignment="1">
      <alignment horizontal="right" vertical="center"/>
    </xf>
    <xf numFmtId="4" fontId="0" fillId="0" borderId="21" xfId="0" applyNumberFormat="1" applyBorder="1" applyAlignment="1">
      <alignment horizontal="right" vertical="center"/>
    </xf>
    <xf numFmtId="4" fontId="0" fillId="0" borderId="22" xfId="0" applyNumberFormat="1" applyBorder="1" applyAlignment="1">
      <alignment horizontal="right" vertical="center"/>
    </xf>
    <xf numFmtId="4" fontId="1" fillId="3" borderId="21" xfId="0" applyNumberFormat="1" applyFont="1" applyFill="1" applyBorder="1" applyAlignment="1">
      <alignment horizontal="right" vertical="center"/>
    </xf>
    <xf numFmtId="4" fontId="1" fillId="6" borderId="23" xfId="0" applyNumberFormat="1" applyFont="1" applyFill="1" applyBorder="1" applyAlignment="1">
      <alignment horizontal="right" vertical="center"/>
    </xf>
    <xf numFmtId="4" fontId="1" fillId="5" borderId="38" xfId="0" applyNumberFormat="1" applyFont="1" applyFill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1" fillId="5" borderId="27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20" xfId="0" applyNumberFormat="1" applyFont="1" applyFill="1" applyBorder="1" applyAlignment="1">
      <alignment horizontal="right" vertical="center"/>
    </xf>
    <xf numFmtId="4" fontId="0" fillId="4" borderId="21" xfId="0" applyNumberFormat="1" applyFill="1" applyBorder="1" applyAlignment="1">
      <alignment horizontal="right" vertical="center"/>
    </xf>
    <xf numFmtId="4" fontId="0" fillId="0" borderId="20" xfId="0" applyNumberFormat="1" applyBorder="1" applyAlignment="1">
      <alignment horizontal="right" vertical="center"/>
    </xf>
    <xf numFmtId="4" fontId="1" fillId="0" borderId="31" xfId="0" applyNumberFormat="1" applyFont="1" applyBorder="1" applyAlignment="1">
      <alignment vertical="center"/>
    </xf>
    <xf numFmtId="4" fontId="1" fillId="4" borderId="21" xfId="0" applyNumberFormat="1" applyFont="1" applyFill="1" applyBorder="1" applyAlignment="1">
      <alignment horizontal="right" vertical="center"/>
    </xf>
    <xf numFmtId="4" fontId="0" fillId="0" borderId="21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4" fontId="0" fillId="0" borderId="24" xfId="0" applyNumberFormat="1" applyBorder="1" applyAlignment="1">
      <alignment horizontal="right" vertical="center"/>
    </xf>
    <xf numFmtId="4" fontId="1" fillId="3" borderId="23" xfId="0" applyNumberFormat="1" applyFont="1" applyFill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0" fillId="4" borderId="27" xfId="0" applyNumberFormat="1" applyFill="1" applyBorder="1" applyAlignment="1">
      <alignment horizontal="right" vertical="center"/>
    </xf>
    <xf numFmtId="4" fontId="1" fillId="2" borderId="31" xfId="0" applyNumberFormat="1" applyFont="1" applyFill="1" applyBorder="1" applyAlignment="1">
      <alignment horizontal="right"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1" fillId="2" borderId="20" xfId="0" applyFont="1" applyFill="1" applyBorder="1" applyAlignment="1">
      <alignment horizontal="center" wrapText="1"/>
    </xf>
    <xf numFmtId="0" fontId="1" fillId="2" borderId="21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1" fillId="3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4" fontId="0" fillId="0" borderId="32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4" fontId="0" fillId="0" borderId="35" xfId="0" applyNumberFormat="1" applyBorder="1" applyAlignment="1">
      <alignment horizontal="center" wrapText="1"/>
    </xf>
    <xf numFmtId="4" fontId="0" fillId="0" borderId="37" xfId="0" applyNumberFormat="1" applyBorder="1" applyAlignment="1">
      <alignment horizontal="center" wrapText="1"/>
    </xf>
    <xf numFmtId="4" fontId="0" fillId="0" borderId="41" xfId="0" applyNumberFormat="1" applyBorder="1" applyAlignment="1">
      <alignment horizontal="center" wrapText="1"/>
    </xf>
    <xf numFmtId="4" fontId="0" fillId="0" borderId="42" xfId="0" applyNumberFormat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8" xfId="0" applyFont="1" applyFill="1" applyBorder="1" applyAlignment="1">
      <alignment horizontal="left"/>
    </xf>
    <xf numFmtId="4" fontId="1" fillId="0" borderId="27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" fontId="5" fillId="0" borderId="36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" fontId="3" fillId="0" borderId="35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0" fillId="4" borderId="21" xfId="0" applyNumberFormat="1" applyFill="1" applyBorder="1" applyAlignment="1">
      <alignment horizontal="right" vertical="center"/>
    </xf>
    <xf numFmtId="4" fontId="0" fillId="4" borderId="27" xfId="0" applyNumberFormat="1" applyFill="1" applyBorder="1" applyAlignment="1">
      <alignment horizontal="right" vertical="center"/>
    </xf>
    <xf numFmtId="4" fontId="0" fillId="4" borderId="26" xfId="0" applyNumberFormat="1" applyFill="1" applyBorder="1" applyAlignment="1">
      <alignment horizontal="right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35" xfId="0" applyNumberFormat="1" applyFont="1" applyBorder="1" applyAlignment="1">
      <alignment horizontal="center" vertical="center" wrapText="1"/>
    </xf>
    <xf numFmtId="4" fontId="5" fillId="0" borderId="37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37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0" fillId="4" borderId="27" xfId="0" applyNumberFormat="1" applyFill="1" applyBorder="1" applyAlignment="1">
      <alignment horizontal="center" vertical="center"/>
    </xf>
    <xf numFmtId="4" fontId="0" fillId="4" borderId="26" xfId="0" applyNumberForma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0" fillId="0" borderId="27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3" borderId="13" xfId="0" applyNumberFormat="1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3" fillId="3" borderId="33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vertical="center" wrapText="1"/>
    </xf>
    <xf numFmtId="4" fontId="3" fillId="3" borderId="32" xfId="0" applyNumberFormat="1" applyFont="1" applyFill="1" applyBorder="1" applyAlignment="1">
      <alignment horizontal="center" vertical="center"/>
    </xf>
    <xf numFmtId="4" fontId="3" fillId="3" borderId="34" xfId="0" applyNumberFormat="1" applyFont="1" applyFill="1" applyBorder="1" applyAlignment="1">
      <alignment horizontal="center" vertical="center"/>
    </xf>
    <xf numFmtId="4" fontId="1" fillId="4" borderId="21" xfId="0" applyNumberFormat="1" applyFont="1" applyFill="1" applyBorder="1" applyAlignment="1">
      <alignment horizontal="right" vertical="center"/>
    </xf>
    <xf numFmtId="4" fontId="3" fillId="3" borderId="29" xfId="0" applyNumberFormat="1" applyFont="1" applyFill="1" applyBorder="1" applyAlignment="1">
      <alignment horizontal="center" vertical="center"/>
    </xf>
    <xf numFmtId="4" fontId="3" fillId="3" borderId="30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2" fillId="0" borderId="35" xfId="0" applyNumberFormat="1" applyFont="1" applyBorder="1" applyAlignment="1">
      <alignment horizontal="center" vertical="center" wrapText="1"/>
    </xf>
    <xf numFmtId="4" fontId="2" fillId="0" borderId="37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5" fillId="4" borderId="35" xfId="0" applyNumberFormat="1" applyFont="1" applyFill="1" applyBorder="1" applyAlignment="1">
      <alignment horizontal="center" vertical="center" wrapText="1"/>
    </xf>
    <xf numFmtId="4" fontId="5" fillId="4" borderId="37" xfId="0" applyNumberFormat="1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4" fontId="1" fillId="3" borderId="35" xfId="0" applyNumberFormat="1" applyFont="1" applyFill="1" applyBorder="1" applyAlignment="1">
      <alignment horizontal="center" vertical="center"/>
    </xf>
    <xf numFmtId="4" fontId="1" fillId="3" borderId="37" xfId="0" applyNumberFormat="1" applyFont="1" applyFill="1" applyBorder="1" applyAlignment="1">
      <alignment horizontal="center" vertical="center"/>
    </xf>
    <xf numFmtId="4" fontId="1" fillId="3" borderId="29" xfId="0" applyNumberFormat="1" applyFont="1" applyFill="1" applyBorder="1" applyAlignment="1">
      <alignment horizontal="center" vertical="center"/>
    </xf>
    <xf numFmtId="4" fontId="1" fillId="3" borderId="30" xfId="0" applyNumberFormat="1" applyFont="1" applyFill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center" vertical="center"/>
    </xf>
    <xf numFmtId="4" fontId="1" fillId="3" borderId="38" xfId="0" applyNumberFormat="1" applyFont="1" applyFill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4" fontId="0" fillId="0" borderId="41" xfId="0" applyNumberFormat="1" applyBorder="1" applyAlignment="1">
      <alignment horizontal="center" vertical="center"/>
    </xf>
    <xf numFmtId="4" fontId="0" fillId="0" borderId="42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1" fillId="5" borderId="35" xfId="0" applyNumberFormat="1" applyFont="1" applyFill="1" applyBorder="1" applyAlignment="1">
      <alignment horizontal="center" vertical="center"/>
    </xf>
    <xf numFmtId="4" fontId="1" fillId="5" borderId="37" xfId="0" applyNumberFormat="1" applyFont="1" applyFill="1" applyBorder="1" applyAlignment="1">
      <alignment horizontal="center" vertical="center"/>
    </xf>
    <xf numFmtId="4" fontId="1" fillId="3" borderId="14" xfId="0" applyNumberFormat="1" applyFont="1" applyFill="1" applyBorder="1" applyAlignment="1">
      <alignment horizontal="center" vertical="center"/>
    </xf>
    <xf numFmtId="4" fontId="1" fillId="3" borderId="25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3" fillId="3" borderId="37" xfId="0" applyFont="1" applyFill="1" applyBorder="1" applyAlignment="1">
      <alignment horizontal="left" vertical="center"/>
    </xf>
    <xf numFmtId="4" fontId="0" fillId="0" borderId="35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4" fontId="1" fillId="3" borderId="18" xfId="0" applyNumberFormat="1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0" fontId="3" fillId="3" borderId="35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3" fillId="3" borderId="37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30" xfId="0" applyFont="1" applyFill="1" applyBorder="1" applyAlignment="1">
      <alignment vertical="center" wrapText="1"/>
    </xf>
    <xf numFmtId="4" fontId="1" fillId="6" borderId="23" xfId="0" applyNumberFormat="1" applyFont="1" applyFill="1" applyBorder="1" applyAlignment="1">
      <alignment horizontal="center" vertical="center"/>
    </xf>
    <xf numFmtId="4" fontId="1" fillId="5" borderId="29" xfId="0" applyNumberFormat="1" applyFont="1" applyFill="1" applyBorder="1" applyAlignment="1">
      <alignment horizontal="center" vertical="center"/>
    </xf>
    <xf numFmtId="4" fontId="1" fillId="5" borderId="30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30" xfId="0" applyFont="1" applyFill="1" applyBorder="1" applyAlignment="1">
      <alignment vertical="center"/>
    </xf>
    <xf numFmtId="4" fontId="1" fillId="3" borderId="27" xfId="0" applyNumberFormat="1" applyFont="1" applyFill="1" applyBorder="1" applyAlignment="1">
      <alignment horizontal="right" vertical="center"/>
    </xf>
    <xf numFmtId="4" fontId="1" fillId="3" borderId="3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1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" fontId="1" fillId="3" borderId="26" xfId="0" applyNumberFormat="1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Normal="100" workbookViewId="0">
      <selection activeCell="G22" sqref="G22:H22"/>
    </sheetView>
  </sheetViews>
  <sheetFormatPr defaultRowHeight="15" x14ac:dyDescent="0.25"/>
  <cols>
    <col min="1" max="12" width="8.85546875" customWidth="1"/>
    <col min="15" max="15" width="12.7109375" bestFit="1" customWidth="1"/>
  </cols>
  <sheetData>
    <row r="1" spans="1:12" x14ac:dyDescent="0.25">
      <c r="A1" s="1" t="s">
        <v>26</v>
      </c>
    </row>
    <row r="2" spans="1:12" x14ac:dyDescent="0.25">
      <c r="A2" t="s">
        <v>24</v>
      </c>
    </row>
    <row r="3" spans="1:12" x14ac:dyDescent="0.25">
      <c r="A3" t="s">
        <v>25</v>
      </c>
    </row>
    <row r="5" spans="1:12" x14ac:dyDescent="0.25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12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</row>
    <row r="9" spans="1:12" x14ac:dyDescent="0.25">
      <c r="A9" s="100" t="s">
        <v>1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1" spans="1:12" x14ac:dyDescent="0.25">
      <c r="A11" t="s">
        <v>2</v>
      </c>
    </row>
    <row r="13" spans="1:12" x14ac:dyDescent="0.25">
      <c r="A13" s="1" t="s">
        <v>3</v>
      </c>
    </row>
    <row r="15" spans="1:12" ht="15.75" thickBot="1" x14ac:dyDescent="0.3">
      <c r="A15" s="1" t="s">
        <v>4</v>
      </c>
    </row>
    <row r="16" spans="1:12" ht="15" customHeight="1" x14ac:dyDescent="0.25">
      <c r="A16" s="109" t="s">
        <v>5</v>
      </c>
      <c r="B16" s="110"/>
      <c r="C16" s="110"/>
      <c r="D16" s="111"/>
      <c r="E16" s="92" t="s">
        <v>22</v>
      </c>
      <c r="F16" s="92"/>
      <c r="G16" s="115" t="s">
        <v>212</v>
      </c>
      <c r="H16" s="116"/>
      <c r="I16" s="115" t="s">
        <v>213</v>
      </c>
      <c r="J16" s="116"/>
      <c r="K16" s="92" t="s">
        <v>23</v>
      </c>
      <c r="L16" s="92"/>
    </row>
    <row r="17" spans="1:15" x14ac:dyDescent="0.25">
      <c r="A17" s="112"/>
      <c r="B17" s="113"/>
      <c r="C17" s="113"/>
      <c r="D17" s="114"/>
      <c r="E17" s="93"/>
      <c r="F17" s="93"/>
      <c r="G17" s="117"/>
      <c r="H17" s="118"/>
      <c r="I17" s="117"/>
      <c r="J17" s="118"/>
      <c r="K17" s="93"/>
      <c r="L17" s="93"/>
    </row>
    <row r="18" spans="1:15" ht="15.75" thickBot="1" x14ac:dyDescent="0.3">
      <c r="A18" s="120">
        <v>1</v>
      </c>
      <c r="B18" s="121"/>
      <c r="C18" s="121"/>
      <c r="D18" s="122"/>
      <c r="E18" s="119">
        <v>2</v>
      </c>
      <c r="F18" s="119"/>
      <c r="G18" s="119">
        <v>3</v>
      </c>
      <c r="H18" s="119"/>
      <c r="I18" s="119">
        <v>4</v>
      </c>
      <c r="J18" s="119"/>
      <c r="K18" s="119">
        <v>5</v>
      </c>
      <c r="L18" s="119"/>
    </row>
    <row r="19" spans="1:15" x14ac:dyDescent="0.25">
      <c r="A19" s="101" t="s">
        <v>6</v>
      </c>
      <c r="B19" s="102"/>
      <c r="C19" s="102"/>
      <c r="D19" s="103"/>
      <c r="E19" s="107">
        <v>11179912.899999999</v>
      </c>
      <c r="F19" s="108"/>
      <c r="G19" s="107">
        <f>10722688.31-G21</f>
        <v>10671688.310000001</v>
      </c>
      <c r="H19" s="108"/>
      <c r="I19" s="107">
        <v>10822662.939999999</v>
      </c>
      <c r="J19" s="108"/>
      <c r="K19" s="107">
        <v>12788469.790000003</v>
      </c>
      <c r="L19" s="108"/>
      <c r="O19" s="37"/>
    </row>
    <row r="20" spans="1:15" x14ac:dyDescent="0.25">
      <c r="A20" s="104" t="s">
        <v>7</v>
      </c>
      <c r="B20" s="105"/>
      <c r="C20" s="105"/>
      <c r="D20" s="106"/>
      <c r="E20" s="96">
        <v>0</v>
      </c>
      <c r="F20" s="97"/>
      <c r="G20" s="96">
        <v>0</v>
      </c>
      <c r="H20" s="97"/>
      <c r="I20" s="96">
        <v>0</v>
      </c>
      <c r="J20" s="97"/>
      <c r="K20" s="96">
        <v>0</v>
      </c>
      <c r="L20" s="97"/>
    </row>
    <row r="21" spans="1:15" x14ac:dyDescent="0.25">
      <c r="A21" s="104" t="s">
        <v>19</v>
      </c>
      <c r="B21" s="105"/>
      <c r="C21" s="105"/>
      <c r="D21" s="106"/>
      <c r="E21" s="96">
        <v>363498.13</v>
      </c>
      <c r="F21" s="97"/>
      <c r="G21" s="96">
        <v>51000</v>
      </c>
      <c r="H21" s="97"/>
      <c r="I21" s="96">
        <v>83080</v>
      </c>
      <c r="J21" s="97"/>
      <c r="K21" s="96">
        <v>103547.03</v>
      </c>
      <c r="L21" s="97"/>
    </row>
    <row r="22" spans="1:15" x14ac:dyDescent="0.25">
      <c r="A22" s="132" t="s">
        <v>8</v>
      </c>
      <c r="B22" s="133"/>
      <c r="C22" s="133"/>
      <c r="D22" s="134"/>
      <c r="E22" s="98">
        <f>SUM(E19:F21)</f>
        <v>11543411.029999999</v>
      </c>
      <c r="F22" s="98"/>
      <c r="G22" s="98">
        <f>SUM(G19:H21)</f>
        <v>10722688.310000001</v>
      </c>
      <c r="H22" s="98"/>
      <c r="I22" s="98">
        <f>SUM(I19:J21)</f>
        <v>10905742.939999999</v>
      </c>
      <c r="J22" s="98"/>
      <c r="K22" s="98">
        <f>SUM(K19:L21)</f>
        <v>12892016.820000002</v>
      </c>
      <c r="L22" s="98"/>
      <c r="O22" s="37"/>
    </row>
    <row r="23" spans="1:15" x14ac:dyDescent="0.25">
      <c r="A23" s="104" t="s">
        <v>9</v>
      </c>
      <c r="B23" s="105"/>
      <c r="C23" s="105"/>
      <c r="D23" s="106"/>
      <c r="E23" s="96">
        <v>11297786.060000001</v>
      </c>
      <c r="F23" s="97"/>
      <c r="G23" s="96">
        <f>10722688.31-G24</f>
        <v>10712688.310000001</v>
      </c>
      <c r="H23" s="97"/>
      <c r="I23" s="96">
        <f>10905742.94-I24</f>
        <v>10728996.41</v>
      </c>
      <c r="J23" s="97"/>
      <c r="K23" s="96">
        <v>12402721.299999999</v>
      </c>
      <c r="L23" s="97"/>
      <c r="O23" s="37"/>
    </row>
    <row r="24" spans="1:15" x14ac:dyDescent="0.25">
      <c r="A24" s="104" t="s">
        <v>10</v>
      </c>
      <c r="B24" s="105"/>
      <c r="C24" s="105"/>
      <c r="D24" s="106"/>
      <c r="E24" s="96">
        <v>142077.94</v>
      </c>
      <c r="F24" s="97"/>
      <c r="G24" s="96">
        <v>10000</v>
      </c>
      <c r="H24" s="97"/>
      <c r="I24" s="96">
        <f>157368.53+4378+9000+6000</f>
        <v>176746.53</v>
      </c>
      <c r="J24" s="97"/>
      <c r="K24" s="96">
        <v>263758.38</v>
      </c>
      <c r="L24" s="97"/>
      <c r="O24" s="37"/>
    </row>
    <row r="25" spans="1:15" x14ac:dyDescent="0.25">
      <c r="A25" s="132" t="s">
        <v>11</v>
      </c>
      <c r="B25" s="133"/>
      <c r="C25" s="133"/>
      <c r="D25" s="134"/>
      <c r="E25" s="98">
        <f t="shared" ref="E25:I25" si="0">SUM(E23:F24)</f>
        <v>11439864</v>
      </c>
      <c r="F25" s="98"/>
      <c r="G25" s="98">
        <f>SUM(G23:H24)</f>
        <v>10722688.310000001</v>
      </c>
      <c r="H25" s="98"/>
      <c r="I25" s="98">
        <f t="shared" si="0"/>
        <v>10905742.939999999</v>
      </c>
      <c r="J25" s="98"/>
      <c r="K25" s="98">
        <f>SUM(K23:L24)</f>
        <v>12666479.68</v>
      </c>
      <c r="L25" s="98"/>
      <c r="O25" s="37"/>
    </row>
    <row r="26" spans="1:15" ht="15.75" thickBot="1" x14ac:dyDescent="0.3">
      <c r="A26" s="129" t="s">
        <v>12</v>
      </c>
      <c r="B26" s="130"/>
      <c r="C26" s="130"/>
      <c r="D26" s="131"/>
      <c r="E26" s="84">
        <f>E22-E25</f>
        <v>103547.02999999933</v>
      </c>
      <c r="F26" s="85"/>
      <c r="G26" s="84">
        <f t="shared" ref="G26:I26" si="1">G22-G25</f>
        <v>0</v>
      </c>
      <c r="H26" s="85"/>
      <c r="I26" s="84">
        <f t="shared" si="1"/>
        <v>0</v>
      </c>
      <c r="J26" s="85"/>
      <c r="K26" s="84">
        <f>K22-K25</f>
        <v>225537.14000000246</v>
      </c>
      <c r="L26" s="85"/>
    </row>
    <row r="27" spans="1:15" x14ac:dyDescent="0.25">
      <c r="O27" s="37"/>
    </row>
    <row r="28" spans="1:15" ht="15.75" thickBot="1" x14ac:dyDescent="0.3">
      <c r="A28" s="1" t="s">
        <v>13</v>
      </c>
    </row>
    <row r="29" spans="1:15" ht="15" customHeight="1" x14ac:dyDescent="0.25">
      <c r="A29" s="94" t="s">
        <v>14</v>
      </c>
      <c r="B29" s="94"/>
      <c r="C29" s="94"/>
      <c r="D29" s="94"/>
      <c r="E29" s="92" t="s">
        <v>22</v>
      </c>
      <c r="F29" s="92"/>
      <c r="G29" s="115" t="s">
        <v>212</v>
      </c>
      <c r="H29" s="116"/>
      <c r="I29" s="115" t="s">
        <v>213</v>
      </c>
      <c r="J29" s="116"/>
      <c r="K29" s="92" t="s">
        <v>23</v>
      </c>
      <c r="L29" s="92"/>
    </row>
    <row r="30" spans="1:15" ht="15.75" thickBot="1" x14ac:dyDescent="0.3">
      <c r="A30" s="95"/>
      <c r="B30" s="95"/>
      <c r="C30" s="95"/>
      <c r="D30" s="95"/>
      <c r="E30" s="93"/>
      <c r="F30" s="93"/>
      <c r="G30" s="117"/>
      <c r="H30" s="118"/>
      <c r="I30" s="117"/>
      <c r="J30" s="118"/>
      <c r="K30" s="93"/>
      <c r="L30" s="93"/>
      <c r="O30" s="37"/>
    </row>
    <row r="31" spans="1:15" x14ac:dyDescent="0.25">
      <c r="A31" s="86" t="s">
        <v>16</v>
      </c>
      <c r="B31" s="86"/>
      <c r="C31" s="86"/>
      <c r="D31" s="86"/>
      <c r="E31" s="89"/>
      <c r="F31" s="89"/>
      <c r="G31" s="89"/>
      <c r="H31" s="89"/>
      <c r="I31" s="89"/>
      <c r="J31" s="89"/>
      <c r="K31" s="89"/>
      <c r="L31" s="89"/>
    </row>
    <row r="32" spans="1:15" x14ac:dyDescent="0.25">
      <c r="A32" s="87" t="s">
        <v>15</v>
      </c>
      <c r="B32" s="87"/>
      <c r="C32" s="87"/>
      <c r="D32" s="87"/>
      <c r="E32" s="90"/>
      <c r="F32" s="90"/>
      <c r="G32" s="90"/>
      <c r="H32" s="90"/>
      <c r="I32" s="90"/>
      <c r="J32" s="90"/>
      <c r="K32" s="90"/>
      <c r="L32" s="90"/>
    </row>
    <row r="33" spans="1:12" ht="15.75" thickBot="1" x14ac:dyDescent="0.3">
      <c r="A33" s="88" t="s">
        <v>17</v>
      </c>
      <c r="B33" s="88"/>
      <c r="C33" s="88"/>
      <c r="D33" s="88"/>
      <c r="E33" s="91"/>
      <c r="F33" s="91"/>
      <c r="G33" s="91"/>
      <c r="H33" s="91"/>
      <c r="I33" s="91"/>
      <c r="J33" s="91"/>
      <c r="K33" s="91"/>
      <c r="L33" s="91"/>
    </row>
    <row r="35" spans="1:12" ht="15.75" thickBot="1" x14ac:dyDescent="0.3">
      <c r="A35" s="1" t="s">
        <v>20</v>
      </c>
    </row>
    <row r="36" spans="1:12" ht="15" customHeight="1" x14ac:dyDescent="0.25">
      <c r="A36" s="94" t="s">
        <v>14</v>
      </c>
      <c r="B36" s="94"/>
      <c r="C36" s="94"/>
      <c r="D36" s="94"/>
      <c r="E36" s="92" t="s">
        <v>22</v>
      </c>
      <c r="F36" s="92"/>
      <c r="G36" s="115" t="s">
        <v>212</v>
      </c>
      <c r="H36" s="116"/>
      <c r="I36" s="115" t="s">
        <v>213</v>
      </c>
      <c r="J36" s="116"/>
      <c r="K36" s="92" t="s">
        <v>23</v>
      </c>
      <c r="L36" s="92"/>
    </row>
    <row r="37" spans="1:12" ht="15.75" thickBot="1" x14ac:dyDescent="0.3">
      <c r="A37" s="95"/>
      <c r="B37" s="95"/>
      <c r="C37" s="95"/>
      <c r="D37" s="95"/>
      <c r="E37" s="93"/>
      <c r="F37" s="93"/>
      <c r="G37" s="117"/>
      <c r="H37" s="118"/>
      <c r="I37" s="117"/>
      <c r="J37" s="118"/>
      <c r="K37" s="93"/>
      <c r="L37" s="93"/>
    </row>
    <row r="38" spans="1:12" x14ac:dyDescent="0.25">
      <c r="A38" s="86" t="s">
        <v>18</v>
      </c>
      <c r="B38" s="86"/>
      <c r="C38" s="86"/>
      <c r="D38" s="86"/>
      <c r="E38" s="89">
        <f>E21</f>
        <v>363498.13</v>
      </c>
      <c r="F38" s="89"/>
      <c r="G38" s="89">
        <f t="shared" ref="G38" si="2">G21</f>
        <v>51000</v>
      </c>
      <c r="H38" s="89"/>
      <c r="I38" s="89">
        <f t="shared" ref="I38" si="3">I21</f>
        <v>83080</v>
      </c>
      <c r="J38" s="89"/>
      <c r="K38" s="89">
        <f t="shared" ref="K38" si="4">K21</f>
        <v>103547.03</v>
      </c>
      <c r="L38" s="89"/>
    </row>
    <row r="39" spans="1:12" ht="15" customHeight="1" x14ac:dyDescent="0.25">
      <c r="A39" s="123" t="s">
        <v>21</v>
      </c>
      <c r="B39" s="123"/>
      <c r="C39" s="123"/>
      <c r="D39" s="123"/>
      <c r="E39" s="125">
        <f>E26</f>
        <v>103547.02999999933</v>
      </c>
      <c r="F39" s="126"/>
      <c r="G39" s="125">
        <f t="shared" ref="G39:I39" si="5">G26</f>
        <v>0</v>
      </c>
      <c r="H39" s="126"/>
      <c r="I39" s="125">
        <f t="shared" si="5"/>
        <v>0</v>
      </c>
      <c r="J39" s="126"/>
      <c r="K39" s="125">
        <f>K26</f>
        <v>225537.14000000246</v>
      </c>
      <c r="L39" s="126"/>
    </row>
    <row r="40" spans="1:12" ht="15.75" thickBot="1" x14ac:dyDescent="0.3">
      <c r="A40" s="124"/>
      <c r="B40" s="124"/>
      <c r="C40" s="124"/>
      <c r="D40" s="124"/>
      <c r="E40" s="127"/>
      <c r="F40" s="128"/>
      <c r="G40" s="127"/>
      <c r="H40" s="128"/>
      <c r="I40" s="127"/>
      <c r="J40" s="128"/>
      <c r="K40" s="127"/>
      <c r="L40" s="128"/>
    </row>
  </sheetData>
  <customSheetViews>
    <customSheetView guid="{005C429F-8448-44DF-83AD-8A930973E873}" topLeftCell="A10">
      <selection activeCell="N35" sqref="N35"/>
      <pageMargins left="0.7" right="0.7" top="0.75" bottom="0.75" header="0.3" footer="0.3"/>
      <pageSetup paperSize="9" scale="92" orientation="portrait" r:id="rId1"/>
    </customSheetView>
  </customSheetViews>
  <mergeCells count="87">
    <mergeCell ref="I24:J24"/>
    <mergeCell ref="G16:H17"/>
    <mergeCell ref="G18:H18"/>
    <mergeCell ref="G19:H19"/>
    <mergeCell ref="G20:H20"/>
    <mergeCell ref="G21:H21"/>
    <mergeCell ref="G22:H22"/>
    <mergeCell ref="G23:H23"/>
    <mergeCell ref="G24:H24"/>
    <mergeCell ref="I19:J19"/>
    <mergeCell ref="I20:J20"/>
    <mergeCell ref="I21:J21"/>
    <mergeCell ref="I22:J22"/>
    <mergeCell ref="I23:J23"/>
    <mergeCell ref="E21:F21"/>
    <mergeCell ref="E22:F22"/>
    <mergeCell ref="E23:F23"/>
    <mergeCell ref="E24:F24"/>
    <mergeCell ref="E25:F25"/>
    <mergeCell ref="A21:D21"/>
    <mergeCell ref="A23:D23"/>
    <mergeCell ref="A24:D24"/>
    <mergeCell ref="A22:D22"/>
    <mergeCell ref="A25:D25"/>
    <mergeCell ref="I25:J25"/>
    <mergeCell ref="I26:J26"/>
    <mergeCell ref="A36:D37"/>
    <mergeCell ref="E36:F37"/>
    <mergeCell ref="I36:J37"/>
    <mergeCell ref="I29:J30"/>
    <mergeCell ref="A26:D26"/>
    <mergeCell ref="E26:F26"/>
    <mergeCell ref="G25:H25"/>
    <mergeCell ref="G26:H26"/>
    <mergeCell ref="G29:H30"/>
    <mergeCell ref="G31:H31"/>
    <mergeCell ref="G32:H32"/>
    <mergeCell ref="G33:H33"/>
    <mergeCell ref="G36:H37"/>
    <mergeCell ref="K36:L37"/>
    <mergeCell ref="A39:D40"/>
    <mergeCell ref="A38:D38"/>
    <mergeCell ref="E38:F38"/>
    <mergeCell ref="I38:J38"/>
    <mergeCell ref="K38:L38"/>
    <mergeCell ref="E39:F40"/>
    <mergeCell ref="I39:J40"/>
    <mergeCell ref="K39:L40"/>
    <mergeCell ref="G38:H38"/>
    <mergeCell ref="G39:H40"/>
    <mergeCell ref="A5:L7"/>
    <mergeCell ref="A9:L9"/>
    <mergeCell ref="A19:D19"/>
    <mergeCell ref="A20:D20"/>
    <mergeCell ref="E19:F19"/>
    <mergeCell ref="E20:F20"/>
    <mergeCell ref="K19:L19"/>
    <mergeCell ref="K20:L20"/>
    <mergeCell ref="A16:D17"/>
    <mergeCell ref="E16:F17"/>
    <mergeCell ref="I16:J17"/>
    <mergeCell ref="K16:L17"/>
    <mergeCell ref="E18:F18"/>
    <mergeCell ref="I18:J18"/>
    <mergeCell ref="K18:L18"/>
    <mergeCell ref="A18:D18"/>
    <mergeCell ref="K21:L21"/>
    <mergeCell ref="K22:L22"/>
    <mergeCell ref="K23:L23"/>
    <mergeCell ref="K24:L24"/>
    <mergeCell ref="K25:L25"/>
    <mergeCell ref="K26:L26"/>
    <mergeCell ref="A31:D31"/>
    <mergeCell ref="A32:D32"/>
    <mergeCell ref="A33:D33"/>
    <mergeCell ref="E31:F31"/>
    <mergeCell ref="I31:J31"/>
    <mergeCell ref="I32:J32"/>
    <mergeCell ref="I33:J33"/>
    <mergeCell ref="K31:L31"/>
    <mergeCell ref="K32:L32"/>
    <mergeCell ref="K33:L33"/>
    <mergeCell ref="E32:F32"/>
    <mergeCell ref="E33:F33"/>
    <mergeCell ref="K29:L30"/>
    <mergeCell ref="A29:D30"/>
    <mergeCell ref="E29:F30"/>
  </mergeCells>
  <pageMargins left="0.7" right="0.7" top="0.75" bottom="0.75" header="0.3" footer="0.3"/>
  <pageSetup paperSize="9" scale="7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zoomScaleNormal="100" workbookViewId="0">
      <selection activeCell="P18" sqref="P18:P19"/>
    </sheetView>
  </sheetViews>
  <sheetFormatPr defaultRowHeight="15" x14ac:dyDescent="0.25"/>
  <cols>
    <col min="1" max="1" width="5.28515625" customWidth="1"/>
    <col min="2" max="18" width="8.85546875" customWidth="1"/>
    <col min="19" max="19" width="13.7109375" bestFit="1" customWidth="1"/>
    <col min="20" max="20" width="8.85546875" customWidth="1"/>
  </cols>
  <sheetData>
    <row r="1" spans="1:17" x14ac:dyDescent="0.25">
      <c r="A1" s="1" t="s">
        <v>26</v>
      </c>
    </row>
    <row r="2" spans="1:17" x14ac:dyDescent="0.25">
      <c r="A2" t="s">
        <v>24</v>
      </c>
    </row>
    <row r="3" spans="1:17" x14ac:dyDescent="0.25">
      <c r="A3" t="s">
        <v>25</v>
      </c>
    </row>
    <row r="5" spans="1:17" x14ac:dyDescent="0.25">
      <c r="A5" s="100" t="s">
        <v>31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7" spans="1:17" ht="15.75" thickBot="1" x14ac:dyDescent="0.3">
      <c r="A7" s="1" t="s">
        <v>32</v>
      </c>
    </row>
    <row r="8" spans="1:17" ht="15" customHeight="1" x14ac:dyDescent="0.25">
      <c r="A8" s="210" t="s">
        <v>33</v>
      </c>
      <c r="B8" s="211"/>
      <c r="C8" s="211"/>
      <c r="D8" s="211"/>
      <c r="E8" s="211"/>
      <c r="F8" s="217"/>
      <c r="G8" s="210" t="s">
        <v>166</v>
      </c>
      <c r="H8" s="211"/>
      <c r="I8" s="210" t="s">
        <v>211</v>
      </c>
      <c r="J8" s="211"/>
      <c r="K8" s="210" t="s">
        <v>208</v>
      </c>
      <c r="L8" s="211"/>
      <c r="M8" s="214" t="s">
        <v>57</v>
      </c>
      <c r="N8" s="214"/>
      <c r="O8" s="25" t="s">
        <v>58</v>
      </c>
      <c r="P8" s="25" t="s">
        <v>58</v>
      </c>
      <c r="Q8" s="2"/>
    </row>
    <row r="9" spans="1:17" x14ac:dyDescent="0.25">
      <c r="A9" s="212"/>
      <c r="B9" s="213"/>
      <c r="C9" s="213"/>
      <c r="D9" s="213"/>
      <c r="E9" s="213"/>
      <c r="F9" s="218"/>
      <c r="G9" s="212"/>
      <c r="H9" s="213"/>
      <c r="I9" s="212"/>
      <c r="J9" s="213"/>
      <c r="K9" s="212"/>
      <c r="L9" s="213"/>
      <c r="M9" s="215"/>
      <c r="N9" s="215"/>
      <c r="O9" s="28" t="s">
        <v>209</v>
      </c>
      <c r="P9" s="26" t="s">
        <v>220</v>
      </c>
      <c r="Q9" s="2"/>
    </row>
    <row r="10" spans="1:17" ht="15.75" thickBot="1" x14ac:dyDescent="0.3">
      <c r="A10" s="208">
        <v>1</v>
      </c>
      <c r="B10" s="209"/>
      <c r="C10" s="209"/>
      <c r="D10" s="209"/>
      <c r="E10" s="209"/>
      <c r="F10" s="216"/>
      <c r="G10" s="208">
        <v>2</v>
      </c>
      <c r="H10" s="209"/>
      <c r="I10" s="208">
        <v>3</v>
      </c>
      <c r="J10" s="209"/>
      <c r="K10" s="208">
        <v>4</v>
      </c>
      <c r="L10" s="209"/>
      <c r="M10" s="208">
        <v>5</v>
      </c>
      <c r="N10" s="209"/>
      <c r="O10" s="27">
        <v>6</v>
      </c>
      <c r="P10" s="27">
        <v>7</v>
      </c>
      <c r="Q10" s="2"/>
    </row>
    <row r="11" spans="1:17" x14ac:dyDescent="0.25">
      <c r="A11" s="9">
        <v>6</v>
      </c>
      <c r="B11" s="188" t="s">
        <v>59</v>
      </c>
      <c r="C11" s="188"/>
      <c r="D11" s="188"/>
      <c r="E11" s="188"/>
      <c r="F11" s="189"/>
      <c r="G11" s="193">
        <f>G12+G30+G36+G43</f>
        <v>11179912.899999999</v>
      </c>
      <c r="H11" s="194"/>
      <c r="I11" s="193">
        <f>I12+I30+I36+I43</f>
        <v>10671688.310000001</v>
      </c>
      <c r="J11" s="194"/>
      <c r="K11" s="193">
        <f>K12+K30+K36+K43</f>
        <v>10822662.9</v>
      </c>
      <c r="L11" s="194"/>
      <c r="M11" s="193">
        <f>M12+M30+M36+M43</f>
        <v>12788469.790000003</v>
      </c>
      <c r="N11" s="194"/>
      <c r="O11" s="66">
        <f>(M11/G11)*100</f>
        <v>114.3879196947948</v>
      </c>
      <c r="P11" s="66">
        <f>M11/K11*100</f>
        <v>118.16380042660298</v>
      </c>
      <c r="Q11" s="2"/>
    </row>
    <row r="12" spans="1:17" ht="15" customHeight="1" x14ac:dyDescent="0.25">
      <c r="A12" s="10">
        <v>63</v>
      </c>
      <c r="B12" s="221" t="s">
        <v>34</v>
      </c>
      <c r="C12" s="221"/>
      <c r="D12" s="221"/>
      <c r="E12" s="221"/>
      <c r="F12" s="222"/>
      <c r="G12" s="162">
        <f t="shared" ref="G12" si="0">G14+G16+G22+G24</f>
        <v>9908652.709999999</v>
      </c>
      <c r="H12" s="163"/>
      <c r="I12" s="162">
        <f t="shared" ref="I12" si="1">I14+I16+I22+I24</f>
        <v>9491900</v>
      </c>
      <c r="J12" s="163"/>
      <c r="K12" s="162">
        <f>K14+K16+K22+K24</f>
        <v>9346742.7100000009</v>
      </c>
      <c r="L12" s="163"/>
      <c r="M12" s="162">
        <f>M14+M16+M22+M24</f>
        <v>11222983.060000002</v>
      </c>
      <c r="N12" s="163"/>
      <c r="O12" s="192">
        <f>M12/G12*100</f>
        <v>113.26447084651133</v>
      </c>
      <c r="P12" s="192">
        <f>M12/K12*100</f>
        <v>120.0737348637256</v>
      </c>
      <c r="Q12" s="2"/>
    </row>
    <row r="13" spans="1:17" ht="15" customHeight="1" x14ac:dyDescent="0.25">
      <c r="A13" s="11"/>
      <c r="B13" s="221"/>
      <c r="C13" s="221"/>
      <c r="D13" s="221"/>
      <c r="E13" s="221"/>
      <c r="F13" s="222"/>
      <c r="G13" s="164"/>
      <c r="H13" s="165"/>
      <c r="I13" s="164"/>
      <c r="J13" s="165"/>
      <c r="K13" s="164"/>
      <c r="L13" s="165"/>
      <c r="M13" s="164"/>
      <c r="N13" s="165"/>
      <c r="O13" s="192"/>
      <c r="P13" s="192"/>
      <c r="Q13" s="2"/>
    </row>
    <row r="14" spans="1:17" x14ac:dyDescent="0.25">
      <c r="A14" s="12">
        <v>634</v>
      </c>
      <c r="B14" s="4" t="s">
        <v>35</v>
      </c>
      <c r="C14" s="4"/>
      <c r="D14" s="4"/>
      <c r="E14" s="4"/>
      <c r="F14" s="13"/>
      <c r="G14" s="166">
        <f>G15</f>
        <v>0</v>
      </c>
      <c r="H14" s="167"/>
      <c r="I14" s="166">
        <f t="shared" ref="I14:K14" si="2">I15</f>
        <v>0</v>
      </c>
      <c r="J14" s="167"/>
      <c r="K14" s="166">
        <f t="shared" si="2"/>
        <v>0</v>
      </c>
      <c r="L14" s="167"/>
      <c r="M14" s="166">
        <f t="shared" ref="M14" si="3">M15</f>
        <v>0</v>
      </c>
      <c r="N14" s="167"/>
      <c r="O14" s="67" t="e">
        <f>M14/G14</f>
        <v>#DIV/0!</v>
      </c>
      <c r="P14" s="67" t="e">
        <f>M14/K14*100</f>
        <v>#DIV/0!</v>
      </c>
      <c r="Q14" s="2"/>
    </row>
    <row r="15" spans="1:17" x14ac:dyDescent="0.25">
      <c r="A15" s="14">
        <v>6341</v>
      </c>
      <c r="B15" s="7" t="s">
        <v>36</v>
      </c>
      <c r="C15" s="7"/>
      <c r="D15" s="7"/>
      <c r="E15" s="7"/>
      <c r="F15" s="15"/>
      <c r="G15" s="196"/>
      <c r="H15" s="197"/>
      <c r="I15" s="196"/>
      <c r="J15" s="197"/>
      <c r="K15" s="196"/>
      <c r="L15" s="197"/>
      <c r="M15" s="196"/>
      <c r="N15" s="197"/>
      <c r="O15" s="67" t="e">
        <f>M15/G15</f>
        <v>#DIV/0!</v>
      </c>
      <c r="P15" s="67" t="e">
        <f>M15/K15*100</f>
        <v>#DIV/0!</v>
      </c>
      <c r="Q15" s="2"/>
    </row>
    <row r="16" spans="1:17" x14ac:dyDescent="0.25">
      <c r="A16" s="16">
        <v>636</v>
      </c>
      <c r="B16" s="223" t="s">
        <v>37</v>
      </c>
      <c r="C16" s="223"/>
      <c r="D16" s="223"/>
      <c r="E16" s="223"/>
      <c r="F16" s="224"/>
      <c r="G16" s="198">
        <f>G18+G20</f>
        <v>9862679.3399999999</v>
      </c>
      <c r="H16" s="199"/>
      <c r="I16" s="198">
        <f t="shared" ref="I16" si="4">I18+I20</f>
        <v>9381000</v>
      </c>
      <c r="J16" s="199"/>
      <c r="K16" s="198">
        <f>K18+K20</f>
        <v>9315966</v>
      </c>
      <c r="L16" s="199"/>
      <c r="M16" s="198">
        <f t="shared" ref="M16" si="5">M18+M20</f>
        <v>11003641.200000001</v>
      </c>
      <c r="N16" s="199"/>
      <c r="O16" s="151">
        <f>M16/G16*100</f>
        <v>111.56847769928613</v>
      </c>
      <c r="P16" s="151">
        <f>M16/K16*100</f>
        <v>118.11594417583748</v>
      </c>
      <c r="Q16" s="2"/>
    </row>
    <row r="17" spans="1:19" x14ac:dyDescent="0.25">
      <c r="A17" s="11"/>
      <c r="B17" s="223"/>
      <c r="C17" s="223"/>
      <c r="D17" s="223"/>
      <c r="E17" s="223"/>
      <c r="F17" s="224"/>
      <c r="G17" s="200"/>
      <c r="H17" s="201"/>
      <c r="I17" s="200"/>
      <c r="J17" s="201"/>
      <c r="K17" s="200"/>
      <c r="L17" s="201"/>
      <c r="M17" s="200"/>
      <c r="N17" s="201"/>
      <c r="O17" s="151"/>
      <c r="P17" s="151"/>
      <c r="Q17" s="2"/>
    </row>
    <row r="18" spans="1:19" ht="15" customHeight="1" x14ac:dyDescent="0.25">
      <c r="A18" s="17">
        <v>6361</v>
      </c>
      <c r="B18" s="225" t="s">
        <v>38</v>
      </c>
      <c r="C18" s="225"/>
      <c r="D18" s="225"/>
      <c r="E18" s="225"/>
      <c r="F18" s="226"/>
      <c r="G18" s="158">
        <f>9808418.54+1655+65305.8-G34</f>
        <v>9856679.3399999999</v>
      </c>
      <c r="H18" s="159"/>
      <c r="I18" s="158">
        <f>9321000+60000</f>
        <v>9381000</v>
      </c>
      <c r="J18" s="159"/>
      <c r="K18" s="158">
        <f>7500000+350000+1450000+9380+586</f>
        <v>9309966</v>
      </c>
      <c r="L18" s="159"/>
      <c r="M18" s="158">
        <v>10994251.550000001</v>
      </c>
      <c r="N18" s="159"/>
      <c r="O18" s="151">
        <f>M18/G18*100</f>
        <v>111.54113034177291</v>
      </c>
      <c r="P18" s="151">
        <f t="shared" ref="P18" si="6">M18/K18*100</f>
        <v>118.09121053718134</v>
      </c>
      <c r="Q18" s="2"/>
      <c r="R18" s="37"/>
    </row>
    <row r="19" spans="1:19" x14ac:dyDescent="0.25">
      <c r="A19" s="18"/>
      <c r="B19" s="227"/>
      <c r="C19" s="227"/>
      <c r="D19" s="227"/>
      <c r="E19" s="227"/>
      <c r="F19" s="228"/>
      <c r="G19" s="160"/>
      <c r="H19" s="161"/>
      <c r="I19" s="160"/>
      <c r="J19" s="161"/>
      <c r="K19" s="160"/>
      <c r="L19" s="161"/>
      <c r="M19" s="160"/>
      <c r="N19" s="161"/>
      <c r="O19" s="151"/>
      <c r="P19" s="151"/>
      <c r="Q19" s="2"/>
    </row>
    <row r="20" spans="1:19" ht="15" customHeight="1" x14ac:dyDescent="0.25">
      <c r="A20" s="17">
        <v>6362</v>
      </c>
      <c r="B20" s="225" t="s">
        <v>39</v>
      </c>
      <c r="C20" s="225"/>
      <c r="D20" s="225"/>
      <c r="E20" s="225"/>
      <c r="F20" s="226"/>
      <c r="G20" s="158">
        <f>6000</f>
        <v>6000</v>
      </c>
      <c r="H20" s="159"/>
      <c r="I20" s="158"/>
      <c r="J20" s="159"/>
      <c r="K20" s="158">
        <v>6000</v>
      </c>
      <c r="L20" s="159"/>
      <c r="M20" s="158">
        <v>9389.65</v>
      </c>
      <c r="N20" s="159"/>
      <c r="O20" s="151">
        <f t="shared" ref="O20" si="7">M20/G20*100</f>
        <v>156.49416666666667</v>
      </c>
      <c r="P20" s="151">
        <f t="shared" ref="P20" si="8">M20/K20*100</f>
        <v>156.49416666666667</v>
      </c>
      <c r="Q20" s="2"/>
    </row>
    <row r="21" spans="1:19" x14ac:dyDescent="0.25">
      <c r="A21" s="18"/>
      <c r="B21" s="227"/>
      <c r="C21" s="227"/>
      <c r="D21" s="227"/>
      <c r="E21" s="227"/>
      <c r="F21" s="228"/>
      <c r="G21" s="160"/>
      <c r="H21" s="161"/>
      <c r="I21" s="160"/>
      <c r="J21" s="161"/>
      <c r="K21" s="160"/>
      <c r="L21" s="161"/>
      <c r="M21" s="160"/>
      <c r="N21" s="161"/>
      <c r="O21" s="151"/>
      <c r="P21" s="151"/>
      <c r="Q21" s="2"/>
    </row>
    <row r="22" spans="1:19" x14ac:dyDescent="0.25">
      <c r="A22" s="12">
        <v>638</v>
      </c>
      <c r="B22" s="4" t="s">
        <v>50</v>
      </c>
      <c r="C22" s="4"/>
      <c r="D22" s="4"/>
      <c r="E22" s="4"/>
      <c r="F22" s="13"/>
      <c r="G22" s="166">
        <f>G23</f>
        <v>42695.87</v>
      </c>
      <c r="H22" s="167"/>
      <c r="I22" s="166">
        <f t="shared" ref="I22:K22" si="9">I23</f>
        <v>110900</v>
      </c>
      <c r="J22" s="167"/>
      <c r="K22" s="166">
        <f t="shared" si="9"/>
        <v>0</v>
      </c>
      <c r="L22" s="167"/>
      <c r="M22" s="166">
        <f t="shared" ref="M22" si="10">M23</f>
        <v>188565.15</v>
      </c>
      <c r="N22" s="167"/>
      <c r="O22" s="67">
        <f>M22/G22*100</f>
        <v>441.64728344919541</v>
      </c>
      <c r="P22" s="67" t="e">
        <f>M22/K22*100</f>
        <v>#DIV/0!</v>
      </c>
      <c r="Q22" s="2"/>
    </row>
    <row r="23" spans="1:19" x14ac:dyDescent="0.25">
      <c r="A23" s="14">
        <v>6381</v>
      </c>
      <c r="B23" s="7" t="s">
        <v>50</v>
      </c>
      <c r="C23" s="7"/>
      <c r="D23" s="7"/>
      <c r="E23" s="7"/>
      <c r="F23" s="15"/>
      <c r="G23" s="196">
        <f>1012.82+41683.05</f>
        <v>42695.87</v>
      </c>
      <c r="H23" s="197"/>
      <c r="I23" s="196">
        <v>110900</v>
      </c>
      <c r="J23" s="197"/>
      <c r="K23" s="196"/>
      <c r="L23" s="197"/>
      <c r="M23" s="196">
        <v>188565.15</v>
      </c>
      <c r="N23" s="197"/>
      <c r="O23" s="67">
        <f>M23/G23*100</f>
        <v>441.64728344919541</v>
      </c>
      <c r="P23" s="67" t="e">
        <f>M23/K23*100</f>
        <v>#DIV/0!</v>
      </c>
      <c r="Q23" s="2"/>
    </row>
    <row r="24" spans="1:19" x14ac:dyDescent="0.25">
      <c r="A24" s="16">
        <v>639</v>
      </c>
      <c r="B24" s="229" t="s">
        <v>197</v>
      </c>
      <c r="C24" s="229"/>
      <c r="D24" s="229"/>
      <c r="E24" s="229"/>
      <c r="F24" s="230"/>
      <c r="G24" s="198">
        <f t="shared" ref="G24" si="11">G26+G28</f>
        <v>3277.5</v>
      </c>
      <c r="H24" s="199"/>
      <c r="I24" s="198">
        <f t="shared" ref="I24" si="12">I26+I28</f>
        <v>0</v>
      </c>
      <c r="J24" s="199"/>
      <c r="K24" s="198">
        <f>K26+K28</f>
        <v>30776.710000000003</v>
      </c>
      <c r="L24" s="199"/>
      <c r="M24" s="198">
        <f>M26+M28</f>
        <v>30776.710000000003</v>
      </c>
      <c r="N24" s="199"/>
      <c r="O24" s="151">
        <f>M24/G24*100</f>
        <v>939.0300533943556</v>
      </c>
      <c r="P24" s="152">
        <f>M24/K24*100</f>
        <v>100</v>
      </c>
      <c r="Q24" s="2"/>
    </row>
    <row r="25" spans="1:19" x14ac:dyDescent="0.25">
      <c r="A25" s="11"/>
      <c r="B25" s="231"/>
      <c r="C25" s="231"/>
      <c r="D25" s="231"/>
      <c r="E25" s="231"/>
      <c r="F25" s="232"/>
      <c r="G25" s="200"/>
      <c r="H25" s="201"/>
      <c r="I25" s="200"/>
      <c r="J25" s="201"/>
      <c r="K25" s="200"/>
      <c r="L25" s="201"/>
      <c r="M25" s="200"/>
      <c r="N25" s="201"/>
      <c r="O25" s="151"/>
      <c r="P25" s="153"/>
      <c r="Q25" s="2"/>
    </row>
    <row r="26" spans="1:19" x14ac:dyDescent="0.25">
      <c r="A26" s="17">
        <v>6391</v>
      </c>
      <c r="B26" s="154" t="s">
        <v>200</v>
      </c>
      <c r="C26" s="154"/>
      <c r="D26" s="154"/>
      <c r="E26" s="154"/>
      <c r="F26" s="155"/>
      <c r="G26" s="158"/>
      <c r="H26" s="159"/>
      <c r="I26" s="158"/>
      <c r="J26" s="159"/>
      <c r="K26" s="158">
        <f>2612.5+431.06</f>
        <v>3043.56</v>
      </c>
      <c r="L26" s="159"/>
      <c r="M26" s="158">
        <v>3043.56</v>
      </c>
      <c r="N26" s="159"/>
      <c r="O26" s="151" t="e">
        <f>M26/G26*100</f>
        <v>#DIV/0!</v>
      </c>
      <c r="P26" s="152">
        <f>M26/K26*100</f>
        <v>100</v>
      </c>
      <c r="Q26" s="2"/>
      <c r="S26" s="37"/>
    </row>
    <row r="27" spans="1:19" x14ac:dyDescent="0.25">
      <c r="A27" s="11"/>
      <c r="B27" s="156"/>
      <c r="C27" s="156"/>
      <c r="D27" s="156"/>
      <c r="E27" s="156"/>
      <c r="F27" s="157"/>
      <c r="G27" s="160"/>
      <c r="H27" s="161"/>
      <c r="I27" s="160"/>
      <c r="J27" s="161"/>
      <c r="K27" s="160"/>
      <c r="L27" s="161"/>
      <c r="M27" s="160"/>
      <c r="N27" s="161"/>
      <c r="O27" s="151"/>
      <c r="P27" s="153"/>
      <c r="Q27" s="2"/>
    </row>
    <row r="28" spans="1:19" x14ac:dyDescent="0.25">
      <c r="A28" s="17">
        <v>6393</v>
      </c>
      <c r="B28" s="154" t="s">
        <v>198</v>
      </c>
      <c r="C28" s="154"/>
      <c r="D28" s="154"/>
      <c r="E28" s="154"/>
      <c r="F28" s="155"/>
      <c r="G28" s="158">
        <v>3277.5</v>
      </c>
      <c r="H28" s="159"/>
      <c r="I28" s="158"/>
      <c r="J28" s="159"/>
      <c r="K28" s="158">
        <f>7125+10500+7200+1175.63+1732.52</f>
        <v>27733.15</v>
      </c>
      <c r="L28" s="159"/>
      <c r="M28" s="158">
        <v>27733.15</v>
      </c>
      <c r="N28" s="159"/>
      <c r="O28" s="151">
        <f>M28/G28*100</f>
        <v>846.16781083142655</v>
      </c>
      <c r="P28" s="152">
        <f>M28/K28*100</f>
        <v>100</v>
      </c>
      <c r="Q28" s="2"/>
    </row>
    <row r="29" spans="1:19" x14ac:dyDescent="0.25">
      <c r="A29" s="18"/>
      <c r="B29" s="156"/>
      <c r="C29" s="156"/>
      <c r="D29" s="156"/>
      <c r="E29" s="156"/>
      <c r="F29" s="157"/>
      <c r="G29" s="160"/>
      <c r="H29" s="161"/>
      <c r="I29" s="160"/>
      <c r="J29" s="161"/>
      <c r="K29" s="160"/>
      <c r="L29" s="161"/>
      <c r="M29" s="160"/>
      <c r="N29" s="161"/>
      <c r="O29" s="151"/>
      <c r="P29" s="153"/>
      <c r="Q29" s="2"/>
    </row>
    <row r="30" spans="1:19" x14ac:dyDescent="0.25">
      <c r="A30" s="10">
        <v>65</v>
      </c>
      <c r="B30" s="221" t="s">
        <v>40</v>
      </c>
      <c r="C30" s="221"/>
      <c r="D30" s="221"/>
      <c r="E30" s="221"/>
      <c r="F30" s="222"/>
      <c r="G30" s="162">
        <f>G32</f>
        <v>26185.200000000001</v>
      </c>
      <c r="H30" s="163"/>
      <c r="I30" s="162">
        <f t="shared" ref="I30" si="13">I32</f>
        <v>1500</v>
      </c>
      <c r="J30" s="163"/>
      <c r="K30" s="162">
        <f>K32</f>
        <v>26000</v>
      </c>
      <c r="L30" s="163"/>
      <c r="M30" s="162">
        <f t="shared" ref="M30" si="14">M32</f>
        <v>23774.880000000001</v>
      </c>
      <c r="N30" s="163"/>
      <c r="O30" s="192">
        <f>M30/G30*100</f>
        <v>90.795105632189177</v>
      </c>
      <c r="P30" s="192">
        <f>M30/K30*100</f>
        <v>91.441846153846157</v>
      </c>
      <c r="Q30" s="2"/>
    </row>
    <row r="31" spans="1:19" x14ac:dyDescent="0.25">
      <c r="A31" s="11"/>
      <c r="B31" s="221"/>
      <c r="C31" s="221"/>
      <c r="D31" s="221"/>
      <c r="E31" s="221"/>
      <c r="F31" s="222"/>
      <c r="G31" s="164"/>
      <c r="H31" s="165"/>
      <c r="I31" s="164"/>
      <c r="J31" s="165"/>
      <c r="K31" s="164"/>
      <c r="L31" s="165"/>
      <c r="M31" s="164"/>
      <c r="N31" s="165"/>
      <c r="O31" s="192"/>
      <c r="P31" s="192"/>
      <c r="Q31" s="2"/>
    </row>
    <row r="32" spans="1:19" x14ac:dyDescent="0.25">
      <c r="A32" s="12">
        <v>652</v>
      </c>
      <c r="B32" s="4" t="s">
        <v>41</v>
      </c>
      <c r="C32" s="4"/>
      <c r="D32" s="4"/>
      <c r="E32" s="4"/>
      <c r="F32" s="13"/>
      <c r="G32" s="166">
        <f>G33+G34</f>
        <v>26185.200000000001</v>
      </c>
      <c r="H32" s="167"/>
      <c r="I32" s="166">
        <f t="shared" ref="I32:K32" si="15">I33+I34</f>
        <v>1500</v>
      </c>
      <c r="J32" s="167"/>
      <c r="K32" s="166">
        <f t="shared" si="15"/>
        <v>26000</v>
      </c>
      <c r="L32" s="167"/>
      <c r="M32" s="166">
        <f t="shared" ref="M32" si="16">M33+M34</f>
        <v>23774.880000000001</v>
      </c>
      <c r="N32" s="167"/>
      <c r="O32" s="67">
        <f>M32/G32*100</f>
        <v>90.795105632189177</v>
      </c>
      <c r="P32" s="67">
        <f>M32/K32*100</f>
        <v>91.441846153846157</v>
      </c>
      <c r="Q32" s="2"/>
      <c r="S32" s="37"/>
    </row>
    <row r="33" spans="1:19" x14ac:dyDescent="0.25">
      <c r="A33" s="14">
        <v>6526</v>
      </c>
      <c r="B33" s="7" t="s">
        <v>42</v>
      </c>
      <c r="C33" s="7"/>
      <c r="D33" s="7"/>
      <c r="E33" s="7"/>
      <c r="F33" s="15"/>
      <c r="G33" s="196">
        <v>7485.2</v>
      </c>
      <c r="H33" s="197"/>
      <c r="I33" s="196"/>
      <c r="J33" s="197"/>
      <c r="K33" s="196">
        <v>5000</v>
      </c>
      <c r="L33" s="197"/>
      <c r="M33" s="196">
        <v>11674.44</v>
      </c>
      <c r="N33" s="197"/>
      <c r="O33" s="67">
        <f>M33/G33*100</f>
        <v>155.96697483033185</v>
      </c>
      <c r="P33" s="67">
        <f>M33/K33*100</f>
        <v>233.48880000000003</v>
      </c>
      <c r="Q33" s="2"/>
    </row>
    <row r="34" spans="1:19" x14ac:dyDescent="0.25">
      <c r="A34" s="17">
        <v>6528</v>
      </c>
      <c r="B34" s="154" t="s">
        <v>199</v>
      </c>
      <c r="C34" s="154"/>
      <c r="D34" s="154"/>
      <c r="E34" s="154"/>
      <c r="F34" s="155"/>
      <c r="G34" s="158">
        <v>18700</v>
      </c>
      <c r="H34" s="159"/>
      <c r="I34" s="158">
        <v>1500</v>
      </c>
      <c r="J34" s="159"/>
      <c r="K34" s="158">
        <v>21000</v>
      </c>
      <c r="L34" s="159"/>
      <c r="M34" s="158">
        <v>12100.44</v>
      </c>
      <c r="N34" s="159"/>
      <c r="O34" s="168">
        <f>M34/G34*100</f>
        <v>64.708235294117657</v>
      </c>
      <c r="P34" s="168">
        <f>M34/K34*100</f>
        <v>57.621142857142857</v>
      </c>
      <c r="Q34" s="2"/>
    </row>
    <row r="35" spans="1:19" x14ac:dyDescent="0.25">
      <c r="A35" s="18"/>
      <c r="B35" s="156"/>
      <c r="C35" s="156"/>
      <c r="D35" s="156"/>
      <c r="E35" s="156"/>
      <c r="F35" s="157"/>
      <c r="G35" s="160"/>
      <c r="H35" s="161"/>
      <c r="I35" s="160"/>
      <c r="J35" s="161"/>
      <c r="K35" s="160"/>
      <c r="L35" s="161"/>
      <c r="M35" s="160"/>
      <c r="N35" s="161"/>
      <c r="O35" s="169"/>
      <c r="P35" s="169"/>
      <c r="Q35" s="2"/>
    </row>
    <row r="36" spans="1:19" x14ac:dyDescent="0.25">
      <c r="A36" s="10">
        <v>66</v>
      </c>
      <c r="B36" s="221" t="s">
        <v>51</v>
      </c>
      <c r="C36" s="221"/>
      <c r="D36" s="221"/>
      <c r="E36" s="221"/>
      <c r="F36" s="222"/>
      <c r="G36" s="162">
        <f>G38+G40</f>
        <v>19590</v>
      </c>
      <c r="H36" s="163"/>
      <c r="I36" s="162">
        <f t="shared" ref="I36:K36" si="17">I38+I40</f>
        <v>0</v>
      </c>
      <c r="J36" s="163"/>
      <c r="K36" s="162">
        <f t="shared" si="17"/>
        <v>9000</v>
      </c>
      <c r="L36" s="163"/>
      <c r="M36" s="162">
        <f t="shared" ref="M36" si="18">M38+M40</f>
        <v>110328.31</v>
      </c>
      <c r="N36" s="163"/>
      <c r="O36" s="192">
        <f>M36/G36*100</f>
        <v>563.18688106176614</v>
      </c>
      <c r="P36" s="192">
        <f>M36/K36*100</f>
        <v>1225.8701111111111</v>
      </c>
      <c r="Q36" s="2"/>
      <c r="S36" s="37"/>
    </row>
    <row r="37" spans="1:19" x14ac:dyDescent="0.25">
      <c r="A37" s="11"/>
      <c r="B37" s="221"/>
      <c r="C37" s="221"/>
      <c r="D37" s="221"/>
      <c r="E37" s="221"/>
      <c r="F37" s="222"/>
      <c r="G37" s="164"/>
      <c r="H37" s="165"/>
      <c r="I37" s="164"/>
      <c r="J37" s="165"/>
      <c r="K37" s="164"/>
      <c r="L37" s="165"/>
      <c r="M37" s="164"/>
      <c r="N37" s="165"/>
      <c r="O37" s="192"/>
      <c r="P37" s="192"/>
      <c r="Q37" s="2"/>
    </row>
    <row r="38" spans="1:19" x14ac:dyDescent="0.25">
      <c r="A38" s="12">
        <v>661</v>
      </c>
      <c r="B38" s="4" t="s">
        <v>43</v>
      </c>
      <c r="C38" s="4"/>
      <c r="D38" s="4"/>
      <c r="E38" s="4"/>
      <c r="F38" s="13"/>
      <c r="G38" s="166">
        <f>G39</f>
        <v>19590</v>
      </c>
      <c r="H38" s="167"/>
      <c r="I38" s="166">
        <f t="shared" ref="I38:K38" si="19">I39</f>
        <v>0</v>
      </c>
      <c r="J38" s="167"/>
      <c r="K38" s="166">
        <f t="shared" si="19"/>
        <v>9000</v>
      </c>
      <c r="L38" s="167"/>
      <c r="M38" s="166">
        <f t="shared" ref="M38" si="20">M39</f>
        <v>31940</v>
      </c>
      <c r="N38" s="167"/>
      <c r="O38" s="67">
        <f>M38/G38*100</f>
        <v>163.04236855538539</v>
      </c>
      <c r="P38" s="67">
        <f>M38/K38*100</f>
        <v>354.88888888888891</v>
      </c>
      <c r="Q38" s="2"/>
      <c r="S38" s="37"/>
    </row>
    <row r="39" spans="1:19" x14ac:dyDescent="0.25">
      <c r="A39" s="14">
        <v>6615</v>
      </c>
      <c r="B39" s="7" t="s">
        <v>44</v>
      </c>
      <c r="C39" s="7"/>
      <c r="D39" s="7"/>
      <c r="E39" s="7"/>
      <c r="F39" s="15"/>
      <c r="G39" s="196">
        <v>19590</v>
      </c>
      <c r="H39" s="197"/>
      <c r="I39" s="196"/>
      <c r="J39" s="197"/>
      <c r="K39" s="196">
        <v>9000</v>
      </c>
      <c r="L39" s="197"/>
      <c r="M39" s="196">
        <v>31940</v>
      </c>
      <c r="N39" s="197"/>
      <c r="O39" s="67">
        <f>M39/G39*100</f>
        <v>163.04236855538539</v>
      </c>
      <c r="P39" s="67">
        <f>M39/K39*100</f>
        <v>354.88888888888891</v>
      </c>
      <c r="Q39" s="2"/>
    </row>
    <row r="40" spans="1:19" x14ac:dyDescent="0.25">
      <c r="A40" s="16">
        <v>663</v>
      </c>
      <c r="B40" s="223" t="s">
        <v>52</v>
      </c>
      <c r="C40" s="223"/>
      <c r="D40" s="223"/>
      <c r="E40" s="223"/>
      <c r="F40" s="224"/>
      <c r="G40" s="162">
        <f>G42</f>
        <v>0</v>
      </c>
      <c r="H40" s="163"/>
      <c r="I40" s="162">
        <f t="shared" ref="I40:K40" si="21">I42</f>
        <v>0</v>
      </c>
      <c r="J40" s="163"/>
      <c r="K40" s="162">
        <f t="shared" si="21"/>
        <v>0</v>
      </c>
      <c r="L40" s="163"/>
      <c r="M40" s="198">
        <f t="shared" ref="M40" si="22">M42</f>
        <v>78388.31</v>
      </c>
      <c r="N40" s="199"/>
      <c r="O40" s="151" t="e">
        <f>M40/G40*100</f>
        <v>#DIV/0!</v>
      </c>
      <c r="P40" s="151" t="e">
        <f>M40/K40*100</f>
        <v>#DIV/0!</v>
      </c>
      <c r="Q40" s="2"/>
    </row>
    <row r="41" spans="1:19" x14ac:dyDescent="0.25">
      <c r="A41" s="11"/>
      <c r="B41" s="223"/>
      <c r="C41" s="223"/>
      <c r="D41" s="223"/>
      <c r="E41" s="223"/>
      <c r="F41" s="224"/>
      <c r="G41" s="164"/>
      <c r="H41" s="165"/>
      <c r="I41" s="164"/>
      <c r="J41" s="165"/>
      <c r="K41" s="164"/>
      <c r="L41" s="165"/>
      <c r="M41" s="200"/>
      <c r="N41" s="201"/>
      <c r="O41" s="151"/>
      <c r="P41" s="151"/>
      <c r="Q41" s="2"/>
    </row>
    <row r="42" spans="1:19" x14ac:dyDescent="0.25">
      <c r="A42" s="14">
        <v>6631</v>
      </c>
      <c r="B42" s="7" t="s">
        <v>45</v>
      </c>
      <c r="C42" s="7"/>
      <c r="D42" s="7"/>
      <c r="E42" s="7"/>
      <c r="F42" s="15"/>
      <c r="G42" s="196"/>
      <c r="H42" s="197"/>
      <c r="I42" s="196"/>
      <c r="J42" s="197"/>
      <c r="K42" s="196"/>
      <c r="L42" s="197"/>
      <c r="M42" s="196">
        <v>78388.31</v>
      </c>
      <c r="N42" s="197"/>
      <c r="O42" s="67" t="e">
        <f>M42/G42*100</f>
        <v>#DIV/0!</v>
      </c>
      <c r="P42" s="67" t="e">
        <f>M42/K42*100</f>
        <v>#DIV/0!</v>
      </c>
      <c r="Q42" s="2"/>
      <c r="S42" s="37"/>
    </row>
    <row r="43" spans="1:19" x14ac:dyDescent="0.25">
      <c r="A43" s="10">
        <v>67</v>
      </c>
      <c r="B43" s="221" t="s">
        <v>46</v>
      </c>
      <c r="C43" s="221"/>
      <c r="D43" s="221"/>
      <c r="E43" s="221"/>
      <c r="F43" s="222"/>
      <c r="G43" s="162">
        <f>G45</f>
        <v>1225484.99</v>
      </c>
      <c r="H43" s="163"/>
      <c r="I43" s="162">
        <f t="shared" ref="I43:K43" si="23">I45</f>
        <v>1178288.31</v>
      </c>
      <c r="J43" s="163"/>
      <c r="K43" s="162">
        <f t="shared" si="23"/>
        <v>1440920.19</v>
      </c>
      <c r="L43" s="163"/>
      <c r="M43" s="162">
        <f t="shared" ref="M43" si="24">M45</f>
        <v>1431383.54</v>
      </c>
      <c r="N43" s="163"/>
      <c r="O43" s="192">
        <f>M43/G43*100</f>
        <v>116.80139305500592</v>
      </c>
      <c r="P43" s="192">
        <f>M43/K43*100</f>
        <v>99.338155571267279</v>
      </c>
      <c r="Q43" s="2"/>
    </row>
    <row r="44" spans="1:19" x14ac:dyDescent="0.25">
      <c r="A44" s="11"/>
      <c r="B44" s="221"/>
      <c r="C44" s="221"/>
      <c r="D44" s="221"/>
      <c r="E44" s="221"/>
      <c r="F44" s="222"/>
      <c r="G44" s="164"/>
      <c r="H44" s="165"/>
      <c r="I44" s="164"/>
      <c r="J44" s="165"/>
      <c r="K44" s="164"/>
      <c r="L44" s="165"/>
      <c r="M44" s="164"/>
      <c r="N44" s="165"/>
      <c r="O44" s="192"/>
      <c r="P44" s="192"/>
      <c r="Q44" s="2"/>
      <c r="S44" s="37"/>
    </row>
    <row r="45" spans="1:19" ht="15" customHeight="1" x14ac:dyDescent="0.25">
      <c r="A45" s="16">
        <v>671</v>
      </c>
      <c r="B45" s="223" t="s">
        <v>47</v>
      </c>
      <c r="C45" s="223"/>
      <c r="D45" s="223"/>
      <c r="E45" s="223"/>
      <c r="F45" s="224"/>
      <c r="G45" s="198">
        <f>G47+G49</f>
        <v>1225484.99</v>
      </c>
      <c r="H45" s="199"/>
      <c r="I45" s="198">
        <f t="shared" ref="I45:K45" si="25">I47+I49</f>
        <v>1178288.31</v>
      </c>
      <c r="J45" s="199"/>
      <c r="K45" s="198">
        <f t="shared" si="25"/>
        <v>1440920.19</v>
      </c>
      <c r="L45" s="199"/>
      <c r="M45" s="198">
        <f t="shared" ref="M45" si="26">M47+M49</f>
        <v>1431383.54</v>
      </c>
      <c r="N45" s="199"/>
      <c r="O45" s="151">
        <f t="shared" ref="O45" si="27">M45/G45*100</f>
        <v>116.80139305500592</v>
      </c>
      <c r="P45" s="151">
        <f t="shared" ref="P45" si="28">M45/K45*100</f>
        <v>99.338155571267279</v>
      </c>
      <c r="Q45" s="2"/>
    </row>
    <row r="46" spans="1:19" x14ac:dyDescent="0.25">
      <c r="A46" s="11"/>
      <c r="B46" s="223"/>
      <c r="C46" s="223"/>
      <c r="D46" s="223"/>
      <c r="E46" s="223"/>
      <c r="F46" s="224"/>
      <c r="G46" s="200"/>
      <c r="H46" s="201"/>
      <c r="I46" s="200"/>
      <c r="J46" s="201"/>
      <c r="K46" s="200"/>
      <c r="L46" s="201"/>
      <c r="M46" s="200"/>
      <c r="N46" s="201"/>
      <c r="O46" s="151"/>
      <c r="P46" s="151"/>
      <c r="Q46" s="2"/>
      <c r="S46" s="37"/>
    </row>
    <row r="47" spans="1:19" x14ac:dyDescent="0.25">
      <c r="A47" s="17">
        <v>6711</v>
      </c>
      <c r="B47" s="219" t="s">
        <v>48</v>
      </c>
      <c r="C47" s="219"/>
      <c r="D47" s="219"/>
      <c r="E47" s="219"/>
      <c r="F47" s="220"/>
      <c r="G47" s="158">
        <v>1208944.9099999999</v>
      </c>
      <c r="H47" s="159"/>
      <c r="I47" s="158">
        <v>1178288.31</v>
      </c>
      <c r="J47" s="159"/>
      <c r="K47" s="158">
        <f>1112155.7+17500+10000+6000+96891.41+25106.25+4142.5+7377.8</f>
        <v>1279173.6599999999</v>
      </c>
      <c r="L47" s="159"/>
      <c r="M47" s="158">
        <v>1269637.01</v>
      </c>
      <c r="N47" s="159"/>
      <c r="O47" s="151">
        <f t="shared" ref="O47" si="29">M47/G47*100</f>
        <v>105.02025356970155</v>
      </c>
      <c r="P47" s="151">
        <f t="shared" ref="P47" si="30">M47/K47*100</f>
        <v>99.25446791954738</v>
      </c>
      <c r="Q47" s="2"/>
    </row>
    <row r="48" spans="1:19" x14ac:dyDescent="0.25">
      <c r="A48" s="18"/>
      <c r="B48" s="219"/>
      <c r="C48" s="219"/>
      <c r="D48" s="219"/>
      <c r="E48" s="219"/>
      <c r="F48" s="220"/>
      <c r="G48" s="160"/>
      <c r="H48" s="161"/>
      <c r="I48" s="160"/>
      <c r="J48" s="161"/>
      <c r="K48" s="160"/>
      <c r="L48" s="161"/>
      <c r="M48" s="160"/>
      <c r="N48" s="161"/>
      <c r="O48" s="151"/>
      <c r="P48" s="151"/>
      <c r="Q48" s="2"/>
      <c r="S48" s="37"/>
    </row>
    <row r="49" spans="1:17" x14ac:dyDescent="0.25">
      <c r="A49" s="17">
        <v>6712</v>
      </c>
      <c r="B49" s="219" t="s">
        <v>53</v>
      </c>
      <c r="C49" s="219"/>
      <c r="D49" s="219"/>
      <c r="E49" s="219"/>
      <c r="F49" s="220"/>
      <c r="G49" s="158">
        <v>16540.080000000002</v>
      </c>
      <c r="H49" s="159"/>
      <c r="I49" s="158"/>
      <c r="J49" s="159"/>
      <c r="K49" s="158">
        <f>157368.53+4378</f>
        <v>161746.53</v>
      </c>
      <c r="L49" s="159"/>
      <c r="M49" s="158">
        <v>161746.53</v>
      </c>
      <c r="N49" s="159"/>
      <c r="O49" s="151">
        <f t="shared" ref="O49" si="31">M49/G49*100</f>
        <v>977.90657602623435</v>
      </c>
      <c r="P49" s="151">
        <f t="shared" ref="P49" si="32">M49/K49*100</f>
        <v>100</v>
      </c>
      <c r="Q49" s="2"/>
    </row>
    <row r="50" spans="1:17" x14ac:dyDescent="0.25">
      <c r="A50" s="18"/>
      <c r="B50" s="219"/>
      <c r="C50" s="219"/>
      <c r="D50" s="219"/>
      <c r="E50" s="219"/>
      <c r="F50" s="220"/>
      <c r="G50" s="160"/>
      <c r="H50" s="161"/>
      <c r="I50" s="160"/>
      <c r="J50" s="161"/>
      <c r="K50" s="160"/>
      <c r="L50" s="161"/>
      <c r="M50" s="160"/>
      <c r="N50" s="161"/>
      <c r="O50" s="151"/>
      <c r="P50" s="151"/>
      <c r="Q50" s="2"/>
    </row>
    <row r="51" spans="1:17" x14ac:dyDescent="0.25">
      <c r="A51" s="19">
        <v>9</v>
      </c>
      <c r="B51" s="6" t="s">
        <v>49</v>
      </c>
      <c r="C51" s="6"/>
      <c r="D51" s="6"/>
      <c r="E51" s="6"/>
      <c r="F51" s="20"/>
      <c r="G51" s="204">
        <f>G52</f>
        <v>363498.13</v>
      </c>
      <c r="H51" s="205"/>
      <c r="I51" s="204">
        <f t="shared" ref="I51:K51" si="33">I52</f>
        <v>51000</v>
      </c>
      <c r="J51" s="205"/>
      <c r="K51" s="204">
        <f t="shared" si="33"/>
        <v>83080</v>
      </c>
      <c r="L51" s="205"/>
      <c r="M51" s="204">
        <f t="shared" ref="M51" si="34">M52</f>
        <v>103547.03</v>
      </c>
      <c r="N51" s="205"/>
      <c r="O51" s="59">
        <f>M51/G51*100</f>
        <v>28.486262088886122</v>
      </c>
      <c r="P51" s="59">
        <f>M51/K51*100</f>
        <v>124.63532739528165</v>
      </c>
      <c r="Q51" s="2"/>
    </row>
    <row r="52" spans="1:17" x14ac:dyDescent="0.25">
      <c r="A52" s="21">
        <v>92</v>
      </c>
      <c r="B52" s="5" t="s">
        <v>54</v>
      </c>
      <c r="C52" s="5"/>
      <c r="D52" s="5"/>
      <c r="E52" s="5"/>
      <c r="F52" s="22"/>
      <c r="G52" s="206">
        <f>G53</f>
        <v>363498.13</v>
      </c>
      <c r="H52" s="207"/>
      <c r="I52" s="206">
        <f>I53</f>
        <v>51000</v>
      </c>
      <c r="J52" s="207"/>
      <c r="K52" s="206">
        <f>K53</f>
        <v>83080</v>
      </c>
      <c r="L52" s="207"/>
      <c r="M52" s="206">
        <f>M53</f>
        <v>103547.03</v>
      </c>
      <c r="N52" s="207"/>
      <c r="O52" s="70">
        <f>M52/G52*100</f>
        <v>28.486262088886122</v>
      </c>
      <c r="P52" s="70">
        <f>M52/K52*100</f>
        <v>124.63532739528165</v>
      </c>
      <c r="Q52" s="2"/>
    </row>
    <row r="53" spans="1:17" x14ac:dyDescent="0.25">
      <c r="A53" s="12">
        <v>922</v>
      </c>
      <c r="B53" s="4" t="s">
        <v>56</v>
      </c>
      <c r="C53" s="4"/>
      <c r="D53" s="4"/>
      <c r="E53" s="4"/>
      <c r="F53" s="13"/>
      <c r="G53" s="166">
        <f>G54</f>
        <v>363498.13</v>
      </c>
      <c r="H53" s="167"/>
      <c r="I53" s="166">
        <f>I54</f>
        <v>51000</v>
      </c>
      <c r="J53" s="167"/>
      <c r="K53" s="166">
        <f>K54</f>
        <v>83080</v>
      </c>
      <c r="L53" s="167"/>
      <c r="M53" s="166">
        <f>M54</f>
        <v>103547.03</v>
      </c>
      <c r="N53" s="167"/>
      <c r="O53" s="67">
        <f t="shared" ref="O53:O54" si="35">M53/G53*100</f>
        <v>28.486262088886122</v>
      </c>
      <c r="P53" s="67">
        <f t="shared" ref="P53:P54" si="36">M53/K53*100</f>
        <v>124.63532739528165</v>
      </c>
      <c r="Q53" s="2"/>
    </row>
    <row r="54" spans="1:17" ht="15.75" thickBot="1" x14ac:dyDescent="0.3">
      <c r="A54" s="17">
        <v>9221</v>
      </c>
      <c r="B54" s="8" t="s">
        <v>55</v>
      </c>
      <c r="C54" s="23"/>
      <c r="D54" s="23"/>
      <c r="E54" s="23"/>
      <c r="F54" s="24"/>
      <c r="G54" s="158">
        <v>363498.13</v>
      </c>
      <c r="H54" s="159"/>
      <c r="I54" s="158">
        <v>51000</v>
      </c>
      <c r="J54" s="159"/>
      <c r="K54" s="158">
        <f>3380+200+15000+1500+63000</f>
        <v>83080</v>
      </c>
      <c r="L54" s="159"/>
      <c r="M54" s="202">
        <v>103547.03</v>
      </c>
      <c r="N54" s="203"/>
      <c r="O54" s="81">
        <f t="shared" si="35"/>
        <v>28.486262088886122</v>
      </c>
      <c r="P54" s="81">
        <f t="shared" si="36"/>
        <v>124.63532739528165</v>
      </c>
      <c r="Q54" s="2"/>
    </row>
    <row r="55" spans="1:17" ht="15.75" thickBot="1" x14ac:dyDescent="0.3">
      <c r="A55" s="195" t="s">
        <v>60</v>
      </c>
      <c r="B55" s="195"/>
      <c r="C55" s="195"/>
      <c r="D55" s="195"/>
      <c r="E55" s="195"/>
      <c r="F55" s="195"/>
      <c r="G55" s="183">
        <f>G51+G11</f>
        <v>11543411.029999999</v>
      </c>
      <c r="H55" s="183"/>
      <c r="I55" s="183">
        <f>I51+I11</f>
        <v>10722688.310000001</v>
      </c>
      <c r="J55" s="183"/>
      <c r="K55" s="183">
        <f>K51+K11</f>
        <v>10905742.9</v>
      </c>
      <c r="L55" s="183"/>
      <c r="M55" s="183">
        <f>M51+M11</f>
        <v>12892016.820000002</v>
      </c>
      <c r="N55" s="183"/>
      <c r="O55" s="82">
        <f>M55/G55*100</f>
        <v>111.6829053950789</v>
      </c>
      <c r="P55" s="82">
        <f>M55/K55*100</f>
        <v>118.21310054906944</v>
      </c>
    </row>
    <row r="56" spans="1:17" ht="15.75" thickBot="1" x14ac:dyDescent="0.3">
      <c r="G56" s="37"/>
      <c r="H56" s="37"/>
      <c r="I56" s="37"/>
      <c r="J56" s="37"/>
      <c r="K56" s="37"/>
      <c r="L56" s="37"/>
      <c r="M56" s="37"/>
      <c r="N56" s="37"/>
      <c r="O56" s="55"/>
      <c r="P56" s="37"/>
    </row>
    <row r="57" spans="1:17" x14ac:dyDescent="0.25">
      <c r="A57" s="9">
        <v>3</v>
      </c>
      <c r="B57" s="188" t="s">
        <v>61</v>
      </c>
      <c r="C57" s="188"/>
      <c r="D57" s="188"/>
      <c r="E57" s="188"/>
      <c r="F57" s="189"/>
      <c r="G57" s="190">
        <f>G58+G65+G97+G100+G105</f>
        <v>11297786.060000001</v>
      </c>
      <c r="H57" s="191"/>
      <c r="I57" s="190">
        <f>I58+I65+I97+I100+I105</f>
        <v>10712688.310000001</v>
      </c>
      <c r="J57" s="191"/>
      <c r="K57" s="190">
        <f>K58+K65+K97+K100+K105</f>
        <v>10728996.41</v>
      </c>
      <c r="L57" s="191"/>
      <c r="M57" s="190">
        <f>M58+M65+M97+M100+M105</f>
        <v>12402721.299999999</v>
      </c>
      <c r="N57" s="191"/>
      <c r="O57" s="66">
        <f>(M57/G57)*100</f>
        <v>109.78010412068291</v>
      </c>
      <c r="P57" s="66">
        <f>M57/K57*100</f>
        <v>115.60001351515037</v>
      </c>
      <c r="Q57" s="2"/>
    </row>
    <row r="58" spans="1:17" ht="15" customHeight="1" x14ac:dyDescent="0.25">
      <c r="A58" s="21">
        <v>31</v>
      </c>
      <c r="B58" s="5" t="s">
        <v>63</v>
      </c>
      <c r="C58" s="5"/>
      <c r="D58" s="5"/>
      <c r="E58" s="5"/>
      <c r="F58" s="22"/>
      <c r="G58" s="149">
        <f>G59+G61+G63</f>
        <v>10044814.02</v>
      </c>
      <c r="H58" s="150"/>
      <c r="I58" s="149">
        <f t="shared" ref="I58" si="37">I59+I61+I63</f>
        <v>9407900</v>
      </c>
      <c r="J58" s="150"/>
      <c r="K58" s="149">
        <f>K59+K61+K63</f>
        <v>9450029.3499999996</v>
      </c>
      <c r="L58" s="150"/>
      <c r="M58" s="149">
        <f t="shared" ref="M58" si="38">M59+M61+M63</f>
        <v>10944442.9</v>
      </c>
      <c r="N58" s="150"/>
      <c r="O58" s="56">
        <f>M58/G58*100</f>
        <v>108.95615267946992</v>
      </c>
      <c r="P58" s="56">
        <f>M58/K58*100</f>
        <v>115.81385088502398</v>
      </c>
      <c r="Q58" s="2"/>
    </row>
    <row r="59" spans="1:17" x14ac:dyDescent="0.25">
      <c r="A59" s="12">
        <v>311</v>
      </c>
      <c r="B59" s="4" t="s">
        <v>64</v>
      </c>
      <c r="C59" s="4"/>
      <c r="D59" s="4"/>
      <c r="E59" s="4"/>
      <c r="F59" s="13"/>
      <c r="G59" s="137">
        <f>G60</f>
        <v>8307314.79</v>
      </c>
      <c r="H59" s="138"/>
      <c r="I59" s="137">
        <f t="shared" ref="I59:K59" si="39">I60</f>
        <v>7592000</v>
      </c>
      <c r="J59" s="138"/>
      <c r="K59" s="137">
        <f t="shared" si="39"/>
        <v>7622162.5</v>
      </c>
      <c r="L59" s="138"/>
      <c r="M59" s="137">
        <f t="shared" ref="M59" si="40">M60</f>
        <v>9131267.1600000001</v>
      </c>
      <c r="N59" s="138"/>
      <c r="O59" s="57">
        <f>M59/G59*100</f>
        <v>109.91839590564017</v>
      </c>
      <c r="P59" s="57">
        <f>M59/K59*100</f>
        <v>119.79890431357244</v>
      </c>
      <c r="Q59" s="2"/>
    </row>
    <row r="60" spans="1:17" x14ac:dyDescent="0.25">
      <c r="A60" s="14">
        <v>3111</v>
      </c>
      <c r="B60" s="7" t="s">
        <v>65</v>
      </c>
      <c r="C60" s="7"/>
      <c r="D60" s="4"/>
      <c r="E60" s="4"/>
      <c r="F60" s="13"/>
      <c r="G60" s="170">
        <v>8307314.79</v>
      </c>
      <c r="H60" s="171"/>
      <c r="I60" s="170">
        <f>7500000+92000</f>
        <v>7592000</v>
      </c>
      <c r="J60" s="171"/>
      <c r="K60" s="170">
        <f>7500000+76818.75+45343.75</f>
        <v>7622162.5</v>
      </c>
      <c r="L60" s="171"/>
      <c r="M60" s="170">
        <v>9131267.1600000001</v>
      </c>
      <c r="N60" s="171"/>
      <c r="O60" s="57">
        <f t="shared" ref="O60:O88" si="41">M60/G60*100</f>
        <v>109.91839590564017</v>
      </c>
      <c r="P60" s="57">
        <f t="shared" ref="P60:P88" si="42">M60/K60*100</f>
        <v>119.79890431357244</v>
      </c>
      <c r="Q60" s="2"/>
    </row>
    <row r="61" spans="1:17" x14ac:dyDescent="0.25">
      <c r="A61" s="12">
        <v>312</v>
      </c>
      <c r="B61" s="4" t="s">
        <v>66</v>
      </c>
      <c r="C61" s="4"/>
      <c r="D61" s="4"/>
      <c r="E61" s="4"/>
      <c r="F61" s="13"/>
      <c r="G61" s="137">
        <f>G62</f>
        <v>367709.03</v>
      </c>
      <c r="H61" s="138"/>
      <c r="I61" s="137">
        <f t="shared" ref="I61:K61" si="43">I62</f>
        <v>350000</v>
      </c>
      <c r="J61" s="138"/>
      <c r="K61" s="137">
        <f t="shared" si="43"/>
        <v>358700</v>
      </c>
      <c r="L61" s="138"/>
      <c r="M61" s="137">
        <f t="shared" ref="M61" si="44">M62</f>
        <v>358232.82</v>
      </c>
      <c r="N61" s="138"/>
      <c r="O61" s="57">
        <f t="shared" si="41"/>
        <v>97.422905279209488</v>
      </c>
      <c r="P61" s="57">
        <f t="shared" si="42"/>
        <v>99.869757457485363</v>
      </c>
      <c r="Q61" s="2"/>
    </row>
    <row r="62" spans="1:17" x14ac:dyDescent="0.25">
      <c r="A62" s="14">
        <v>3121</v>
      </c>
      <c r="B62" s="7" t="s">
        <v>66</v>
      </c>
      <c r="C62" s="7"/>
      <c r="D62" s="7"/>
      <c r="E62" s="4"/>
      <c r="F62" s="13"/>
      <c r="G62" s="170">
        <v>367709.03</v>
      </c>
      <c r="H62" s="171"/>
      <c r="I62" s="170">
        <f>350000</f>
        <v>350000</v>
      </c>
      <c r="J62" s="171"/>
      <c r="K62" s="170">
        <f>350000+1500+7200</f>
        <v>358700</v>
      </c>
      <c r="L62" s="171"/>
      <c r="M62" s="170">
        <v>358232.82</v>
      </c>
      <c r="N62" s="171"/>
      <c r="O62" s="57">
        <f t="shared" si="41"/>
        <v>97.422905279209488</v>
      </c>
      <c r="P62" s="57">
        <f t="shared" si="42"/>
        <v>99.869757457485363</v>
      </c>
      <c r="Q62" s="2"/>
    </row>
    <row r="63" spans="1:17" x14ac:dyDescent="0.25">
      <c r="A63" s="12">
        <v>313</v>
      </c>
      <c r="B63" s="4" t="s">
        <v>67</v>
      </c>
      <c r="C63" s="4"/>
      <c r="D63" s="4"/>
      <c r="E63" s="4"/>
      <c r="F63" s="13"/>
      <c r="G63" s="137">
        <f>G64</f>
        <v>1369790.2</v>
      </c>
      <c r="H63" s="138"/>
      <c r="I63" s="137">
        <f t="shared" ref="I63:K63" si="45">I64</f>
        <v>1465900</v>
      </c>
      <c r="J63" s="138"/>
      <c r="K63" s="137">
        <f t="shared" si="45"/>
        <v>1469166.85</v>
      </c>
      <c r="L63" s="138"/>
      <c r="M63" s="137">
        <f t="shared" ref="M63" si="46">M64</f>
        <v>1454942.92</v>
      </c>
      <c r="N63" s="138"/>
      <c r="O63" s="57">
        <f t="shared" si="41"/>
        <v>106.21647899072426</v>
      </c>
      <c r="P63" s="57">
        <f t="shared" si="42"/>
        <v>99.031836989787763</v>
      </c>
      <c r="Q63" s="2"/>
    </row>
    <row r="64" spans="1:17" x14ac:dyDescent="0.25">
      <c r="A64" s="14">
        <v>3132</v>
      </c>
      <c r="B64" s="7" t="s">
        <v>68</v>
      </c>
      <c r="C64" s="7"/>
      <c r="D64" s="7"/>
      <c r="E64" s="7"/>
      <c r="F64" s="15"/>
      <c r="G64" s="170">
        <v>1369790.2</v>
      </c>
      <c r="H64" s="171"/>
      <c r="I64" s="170">
        <f>1450000+15900</f>
        <v>1465900</v>
      </c>
      <c r="J64" s="171"/>
      <c r="K64" s="170">
        <f>1450000+11685.1+7481.75</f>
        <v>1469166.85</v>
      </c>
      <c r="L64" s="171"/>
      <c r="M64" s="170">
        <v>1454942.92</v>
      </c>
      <c r="N64" s="171"/>
      <c r="O64" s="57">
        <f t="shared" si="41"/>
        <v>106.21647899072426</v>
      </c>
      <c r="P64" s="57">
        <f t="shared" si="42"/>
        <v>99.031836989787763</v>
      </c>
      <c r="Q64" s="2"/>
    </row>
    <row r="65" spans="1:17" x14ac:dyDescent="0.25">
      <c r="A65" s="21">
        <v>32</v>
      </c>
      <c r="B65" s="5" t="s">
        <v>69</v>
      </c>
      <c r="C65" s="5"/>
      <c r="D65" s="5"/>
      <c r="E65" s="5"/>
      <c r="F65" s="22"/>
      <c r="G65" s="149">
        <f>G66+G71+G78+G88</f>
        <v>1251502.0400000003</v>
      </c>
      <c r="H65" s="150"/>
      <c r="I65" s="149">
        <f t="shared" ref="I65:K65" si="47">I66+I71+I78+I88</f>
        <v>1304788.31</v>
      </c>
      <c r="J65" s="150"/>
      <c r="K65" s="149">
        <f t="shared" si="47"/>
        <v>1267467.06</v>
      </c>
      <c r="L65" s="150"/>
      <c r="M65" s="149">
        <f t="shared" ref="M65" si="48">M66+M71+M78+M88</f>
        <v>1448343.4599999997</v>
      </c>
      <c r="N65" s="150"/>
      <c r="O65" s="56">
        <f t="shared" si="41"/>
        <v>115.72841383462702</v>
      </c>
      <c r="P65" s="56">
        <f t="shared" si="42"/>
        <v>114.27069828544496</v>
      </c>
      <c r="Q65" s="2"/>
    </row>
    <row r="66" spans="1:17" x14ac:dyDescent="0.25">
      <c r="A66" s="12">
        <v>321</v>
      </c>
      <c r="B66" s="4" t="s">
        <v>70</v>
      </c>
      <c r="C66" s="4"/>
      <c r="D66" s="4"/>
      <c r="E66" s="4"/>
      <c r="F66" s="13"/>
      <c r="G66" s="137">
        <f>G67+G68+G69+G70</f>
        <v>325829.42</v>
      </c>
      <c r="H66" s="138"/>
      <c r="I66" s="137">
        <f t="shared" ref="I66" si="49">I67+I68+I69+I70</f>
        <v>348000</v>
      </c>
      <c r="J66" s="138"/>
      <c r="K66" s="137">
        <f t="shared" ref="K66:M66" si="50">K67+K68+K69+K70</f>
        <v>385614.62</v>
      </c>
      <c r="L66" s="138"/>
      <c r="M66" s="137">
        <f t="shared" si="50"/>
        <v>427665.82</v>
      </c>
      <c r="N66" s="138"/>
      <c r="O66" s="57">
        <f t="shared" si="41"/>
        <v>131.25451348131793</v>
      </c>
      <c r="P66" s="57">
        <f t="shared" si="42"/>
        <v>110.90498072920576</v>
      </c>
      <c r="Q66" s="2"/>
    </row>
    <row r="67" spans="1:17" x14ac:dyDescent="0.25">
      <c r="A67" s="14">
        <v>3211</v>
      </c>
      <c r="B67" s="7" t="s">
        <v>71</v>
      </c>
      <c r="C67" s="7"/>
      <c r="D67" s="7"/>
      <c r="E67" s="7"/>
      <c r="F67" s="15"/>
      <c r="G67" s="170">
        <v>70404.02</v>
      </c>
      <c r="H67" s="171"/>
      <c r="I67" s="170">
        <f>70000+20000</f>
        <v>90000</v>
      </c>
      <c r="J67" s="171"/>
      <c r="K67" s="170">
        <f>51456.26+40000</f>
        <v>91456.260000000009</v>
      </c>
      <c r="L67" s="171"/>
      <c r="M67" s="170">
        <v>108295.52</v>
      </c>
      <c r="N67" s="171"/>
      <c r="O67" s="57">
        <f t="shared" si="41"/>
        <v>153.8200801601954</v>
      </c>
      <c r="P67" s="57">
        <f t="shared" si="42"/>
        <v>118.41236455547164</v>
      </c>
      <c r="Q67" s="2"/>
    </row>
    <row r="68" spans="1:17" x14ac:dyDescent="0.25">
      <c r="A68" s="14">
        <v>3212</v>
      </c>
      <c r="B68" s="7" t="s">
        <v>72</v>
      </c>
      <c r="C68" s="7"/>
      <c r="D68" s="7"/>
      <c r="E68" s="7"/>
      <c r="F68" s="15"/>
      <c r="G68" s="170">
        <v>229511.6</v>
      </c>
      <c r="H68" s="171"/>
      <c r="I68" s="170">
        <f>215000+3000</f>
        <v>218000</v>
      </c>
      <c r="J68" s="171"/>
      <c r="K68" s="170">
        <f>245149+6887.56+7377.8</f>
        <v>259414.36</v>
      </c>
      <c r="L68" s="171"/>
      <c r="M68" s="170">
        <v>256963.26</v>
      </c>
      <c r="N68" s="171"/>
      <c r="O68" s="57">
        <f t="shared" si="41"/>
        <v>111.96090306546597</v>
      </c>
      <c r="P68" s="57">
        <f t="shared" si="42"/>
        <v>99.055140972149729</v>
      </c>
      <c r="Q68" s="2"/>
    </row>
    <row r="69" spans="1:17" x14ac:dyDescent="0.25">
      <c r="A69" s="14">
        <v>3213</v>
      </c>
      <c r="B69" s="7" t="s">
        <v>73</v>
      </c>
      <c r="C69" s="7"/>
      <c r="D69" s="7"/>
      <c r="E69" s="7"/>
      <c r="F69" s="15"/>
      <c r="G69" s="170">
        <v>16885.599999999999</v>
      </c>
      <c r="H69" s="171"/>
      <c r="I69" s="170">
        <f>10000+20000</f>
        <v>30000</v>
      </c>
      <c r="J69" s="171"/>
      <c r="K69" s="170">
        <f>8580+20000</f>
        <v>28580</v>
      </c>
      <c r="L69" s="171"/>
      <c r="M69" s="170">
        <v>56243.040000000001</v>
      </c>
      <c r="N69" s="171"/>
      <c r="O69" s="57">
        <f t="shared" si="41"/>
        <v>333.08286350499839</v>
      </c>
      <c r="P69" s="57">
        <f t="shared" si="42"/>
        <v>196.79160251924424</v>
      </c>
      <c r="Q69" s="2"/>
    </row>
    <row r="70" spans="1:17" x14ac:dyDescent="0.25">
      <c r="A70" s="14">
        <v>3214</v>
      </c>
      <c r="B70" s="7" t="s">
        <v>108</v>
      </c>
      <c r="C70" s="7"/>
      <c r="D70" s="7"/>
      <c r="E70" s="7"/>
      <c r="F70" s="15"/>
      <c r="G70" s="170">
        <v>9028.2000000000007</v>
      </c>
      <c r="H70" s="171"/>
      <c r="I70" s="170">
        <f>10000</f>
        <v>10000</v>
      </c>
      <c r="J70" s="171"/>
      <c r="K70" s="170">
        <v>6164</v>
      </c>
      <c r="L70" s="171"/>
      <c r="M70" s="170">
        <v>6164</v>
      </c>
      <c r="N70" s="171"/>
      <c r="O70" s="57">
        <f t="shared" si="41"/>
        <v>68.274960678762099</v>
      </c>
      <c r="P70" s="57">
        <f t="shared" si="42"/>
        <v>100</v>
      </c>
      <c r="Q70" s="2"/>
    </row>
    <row r="71" spans="1:17" x14ac:dyDescent="0.25">
      <c r="A71" s="12">
        <v>322</v>
      </c>
      <c r="B71" s="4" t="s">
        <v>74</v>
      </c>
      <c r="C71" s="4"/>
      <c r="D71" s="4"/>
      <c r="E71" s="4"/>
      <c r="F71" s="13"/>
      <c r="G71" s="137">
        <f>G72+G73+G74+G75+G76+G77</f>
        <v>519133.38</v>
      </c>
      <c r="H71" s="138"/>
      <c r="I71" s="137">
        <f t="shared" ref="I71:K71" si="51">I72+I73+I74+I75+I76+I77</f>
        <v>589404</v>
      </c>
      <c r="J71" s="138"/>
      <c r="K71" s="137">
        <f t="shared" si="51"/>
        <v>573715.80999999994</v>
      </c>
      <c r="L71" s="138"/>
      <c r="M71" s="137">
        <f t="shared" ref="M71" si="52">M72+M73+M74+M75+M76+M77</f>
        <v>583563.00999999989</v>
      </c>
      <c r="N71" s="138"/>
      <c r="O71" s="57">
        <f t="shared" si="41"/>
        <v>112.41099734330315</v>
      </c>
      <c r="P71" s="57">
        <f t="shared" si="42"/>
        <v>101.71638986208171</v>
      </c>
      <c r="Q71" s="2"/>
    </row>
    <row r="72" spans="1:17" x14ac:dyDescent="0.25">
      <c r="A72" s="14">
        <v>3221</v>
      </c>
      <c r="B72" s="7" t="s">
        <v>75</v>
      </c>
      <c r="C72" s="7"/>
      <c r="D72" s="7"/>
      <c r="E72" s="7"/>
      <c r="F72" s="15"/>
      <c r="G72" s="170">
        <v>102840.19</v>
      </c>
      <c r="H72" s="171"/>
      <c r="I72" s="170">
        <f>110000+1500</f>
        <v>111500</v>
      </c>
      <c r="J72" s="171"/>
      <c r="K72" s="170">
        <f>94017.18+5000</f>
        <v>99017.18</v>
      </c>
      <c r="L72" s="171"/>
      <c r="M72" s="170">
        <v>94950.93</v>
      </c>
      <c r="N72" s="171"/>
      <c r="O72" s="57">
        <f t="shared" si="41"/>
        <v>92.328621718804669</v>
      </c>
      <c r="P72" s="57">
        <f t="shared" si="42"/>
        <v>95.893389409797365</v>
      </c>
      <c r="Q72" s="2"/>
    </row>
    <row r="73" spans="1:17" x14ac:dyDescent="0.25">
      <c r="A73" s="14">
        <v>3222</v>
      </c>
      <c r="B73" s="7" t="s">
        <v>109</v>
      </c>
      <c r="C73" s="7"/>
      <c r="D73" s="7"/>
      <c r="E73" s="7"/>
      <c r="F73" s="15"/>
      <c r="G73" s="170">
        <v>184766.59</v>
      </c>
      <c r="H73" s="171"/>
      <c r="I73" s="170">
        <f>190000</f>
        <v>190000</v>
      </c>
      <c r="J73" s="171"/>
      <c r="K73" s="170">
        <f>144500+0</f>
        <v>144500</v>
      </c>
      <c r="L73" s="171"/>
      <c r="M73" s="170">
        <v>155918.44</v>
      </c>
      <c r="N73" s="171"/>
      <c r="O73" s="57">
        <f t="shared" si="41"/>
        <v>84.386706492770145</v>
      </c>
      <c r="P73" s="57">
        <f t="shared" si="42"/>
        <v>107.90203460207613</v>
      </c>
      <c r="Q73" s="2"/>
    </row>
    <row r="74" spans="1:17" x14ac:dyDescent="0.25">
      <c r="A74" s="14">
        <v>3223</v>
      </c>
      <c r="B74" s="7" t="s">
        <v>76</v>
      </c>
      <c r="C74" s="7"/>
      <c r="D74" s="7"/>
      <c r="E74" s="7"/>
      <c r="F74" s="15"/>
      <c r="G74" s="170">
        <v>163125.75</v>
      </c>
      <c r="H74" s="171"/>
      <c r="I74" s="170">
        <v>216904</v>
      </c>
      <c r="J74" s="171"/>
      <c r="K74" s="170">
        <v>282163.87</v>
      </c>
      <c r="L74" s="171"/>
      <c r="M74" s="170">
        <v>271266.23</v>
      </c>
      <c r="N74" s="171"/>
      <c r="O74" s="57">
        <f t="shared" si="41"/>
        <v>166.29270976531907</v>
      </c>
      <c r="P74" s="57">
        <f t="shared" si="42"/>
        <v>96.137832955012982</v>
      </c>
      <c r="Q74" s="2"/>
    </row>
    <row r="75" spans="1:17" x14ac:dyDescent="0.25">
      <c r="A75" s="14">
        <v>3224</v>
      </c>
      <c r="B75" s="7" t="s">
        <v>77</v>
      </c>
      <c r="C75" s="7"/>
      <c r="D75" s="7"/>
      <c r="E75" s="7"/>
      <c r="F75" s="15"/>
      <c r="G75" s="170">
        <v>50834.6</v>
      </c>
      <c r="H75" s="171"/>
      <c r="I75" s="170">
        <v>50000</v>
      </c>
      <c r="J75" s="171"/>
      <c r="K75" s="170">
        <v>39102.82</v>
      </c>
      <c r="L75" s="171"/>
      <c r="M75" s="170">
        <v>39102.82</v>
      </c>
      <c r="N75" s="171"/>
      <c r="O75" s="57">
        <f t="shared" si="41"/>
        <v>76.92166359133347</v>
      </c>
      <c r="P75" s="57">
        <f t="shared" si="42"/>
        <v>100</v>
      </c>
      <c r="Q75" s="2"/>
    </row>
    <row r="76" spans="1:17" x14ac:dyDescent="0.25">
      <c r="A76" s="14">
        <v>3225</v>
      </c>
      <c r="B76" s="7" t="s">
        <v>78</v>
      </c>
      <c r="C76" s="7"/>
      <c r="D76" s="7"/>
      <c r="E76" s="7"/>
      <c r="F76" s="15"/>
      <c r="G76" s="170">
        <v>14573.85</v>
      </c>
      <c r="H76" s="171"/>
      <c r="I76" s="170">
        <v>16000</v>
      </c>
      <c r="J76" s="171"/>
      <c r="K76" s="170">
        <v>4973.1000000000004</v>
      </c>
      <c r="L76" s="171"/>
      <c r="M76" s="170">
        <v>18365.75</v>
      </c>
      <c r="N76" s="171"/>
      <c r="O76" s="57">
        <f t="shared" si="41"/>
        <v>126.01851947151918</v>
      </c>
      <c r="P76" s="57">
        <f t="shared" si="42"/>
        <v>369.30184392029111</v>
      </c>
      <c r="Q76" s="2"/>
    </row>
    <row r="77" spans="1:17" x14ac:dyDescent="0.25">
      <c r="A77" s="14">
        <v>3227</v>
      </c>
      <c r="B77" s="7" t="s">
        <v>79</v>
      </c>
      <c r="C77" s="7"/>
      <c r="D77" s="7"/>
      <c r="E77" s="7"/>
      <c r="F77" s="15"/>
      <c r="G77" s="170">
        <v>2992.4</v>
      </c>
      <c r="H77" s="171"/>
      <c r="I77" s="170">
        <v>5000</v>
      </c>
      <c r="J77" s="171"/>
      <c r="K77" s="170">
        <v>3958.84</v>
      </c>
      <c r="L77" s="171"/>
      <c r="M77" s="170">
        <v>3958.84</v>
      </c>
      <c r="N77" s="171"/>
      <c r="O77" s="57">
        <f t="shared" si="41"/>
        <v>132.29648442721563</v>
      </c>
      <c r="P77" s="57">
        <f t="shared" si="42"/>
        <v>100</v>
      </c>
      <c r="Q77" s="2"/>
    </row>
    <row r="78" spans="1:17" x14ac:dyDescent="0.25">
      <c r="A78" s="12">
        <v>323</v>
      </c>
      <c r="B78" s="4" t="s">
        <v>80</v>
      </c>
      <c r="C78" s="4"/>
      <c r="D78" s="4"/>
      <c r="E78" s="4"/>
      <c r="F78" s="13"/>
      <c r="G78" s="137">
        <f>G79+G80+G81+G82+G83+G84+G85+G86+G87</f>
        <v>303258.14000000007</v>
      </c>
      <c r="H78" s="138"/>
      <c r="I78" s="137">
        <f t="shared" ref="I78:K78" si="53">I79+I80+I81+I82+I83+I84+I85+I86+I87</f>
        <v>280384.31</v>
      </c>
      <c r="J78" s="138"/>
      <c r="K78" s="137">
        <f t="shared" si="53"/>
        <v>218392.80000000002</v>
      </c>
      <c r="L78" s="138"/>
      <c r="M78" s="137">
        <f t="shared" ref="M78" si="54">M79+M80+M81+M82+M83+M84+M85+M86+M87</f>
        <v>277923.45999999996</v>
      </c>
      <c r="N78" s="138"/>
      <c r="O78" s="57">
        <f t="shared" si="41"/>
        <v>91.645836777868482</v>
      </c>
      <c r="P78" s="57">
        <f t="shared" si="42"/>
        <v>127.25852683788108</v>
      </c>
      <c r="Q78" s="2"/>
    </row>
    <row r="79" spans="1:17" x14ac:dyDescent="0.25">
      <c r="A79" s="14">
        <v>3231</v>
      </c>
      <c r="B79" s="7" t="s">
        <v>81</v>
      </c>
      <c r="C79" s="7"/>
      <c r="D79" s="7"/>
      <c r="E79" s="7"/>
      <c r="F79" s="15"/>
      <c r="G79" s="170">
        <v>72272.23</v>
      </c>
      <c r="H79" s="171"/>
      <c r="I79" s="170">
        <v>30000</v>
      </c>
      <c r="J79" s="171"/>
      <c r="K79" s="170">
        <f>25143.6+0</f>
        <v>25143.599999999999</v>
      </c>
      <c r="L79" s="171"/>
      <c r="M79" s="170">
        <v>65617.600000000006</v>
      </c>
      <c r="N79" s="171"/>
      <c r="O79" s="57">
        <f t="shared" si="41"/>
        <v>90.792272495258558</v>
      </c>
      <c r="P79" s="57">
        <f t="shared" si="42"/>
        <v>260.97138039103396</v>
      </c>
      <c r="Q79" s="2"/>
    </row>
    <row r="80" spans="1:17" x14ac:dyDescent="0.25">
      <c r="A80" s="14">
        <v>3232</v>
      </c>
      <c r="B80" s="7" t="s">
        <v>82</v>
      </c>
      <c r="C80" s="7"/>
      <c r="D80" s="7"/>
      <c r="E80" s="7"/>
      <c r="F80" s="15"/>
      <c r="G80" s="170">
        <v>77944.350000000006</v>
      </c>
      <c r="H80" s="171"/>
      <c r="I80" s="170">
        <v>38000</v>
      </c>
      <c r="J80" s="171"/>
      <c r="K80" s="170">
        <v>42126.62</v>
      </c>
      <c r="L80" s="171"/>
      <c r="M80" s="170">
        <v>45876.62</v>
      </c>
      <c r="N80" s="171"/>
      <c r="O80" s="57">
        <f t="shared" si="41"/>
        <v>58.858172529503413</v>
      </c>
      <c r="P80" s="57">
        <f t="shared" si="42"/>
        <v>108.90173481755716</v>
      </c>
      <c r="Q80" s="2"/>
    </row>
    <row r="81" spans="1:17" x14ac:dyDescent="0.25">
      <c r="A81" s="14">
        <v>3233</v>
      </c>
      <c r="B81" s="7" t="s">
        <v>111</v>
      </c>
      <c r="C81" s="7"/>
      <c r="D81" s="7"/>
      <c r="E81" s="7"/>
      <c r="F81" s="15"/>
      <c r="G81" s="170">
        <v>720</v>
      </c>
      <c r="H81" s="171"/>
      <c r="I81" s="170">
        <v>1000</v>
      </c>
      <c r="J81" s="171"/>
      <c r="K81" s="170">
        <v>960</v>
      </c>
      <c r="L81" s="171"/>
      <c r="M81" s="170">
        <v>24617.64</v>
      </c>
      <c r="N81" s="171"/>
      <c r="O81" s="57">
        <f t="shared" si="41"/>
        <v>3419.1166666666668</v>
      </c>
      <c r="P81" s="57">
        <f t="shared" si="42"/>
        <v>2564.3375000000001</v>
      </c>
      <c r="Q81" s="2"/>
    </row>
    <row r="82" spans="1:17" x14ac:dyDescent="0.25">
      <c r="A82" s="14">
        <v>3234</v>
      </c>
      <c r="B82" s="7" t="s">
        <v>110</v>
      </c>
      <c r="C82" s="7"/>
      <c r="D82" s="7"/>
      <c r="E82" s="7"/>
      <c r="F82" s="15"/>
      <c r="G82" s="170">
        <v>47304.18</v>
      </c>
      <c r="H82" s="171"/>
      <c r="I82" s="170">
        <v>55000</v>
      </c>
      <c r="J82" s="171"/>
      <c r="K82" s="170">
        <v>45572.480000000003</v>
      </c>
      <c r="L82" s="171"/>
      <c r="M82" s="170">
        <v>45572.480000000003</v>
      </c>
      <c r="N82" s="171"/>
      <c r="O82" s="57">
        <f t="shared" si="41"/>
        <v>96.339224144673906</v>
      </c>
      <c r="P82" s="57">
        <f t="shared" si="42"/>
        <v>100</v>
      </c>
      <c r="Q82" s="2"/>
    </row>
    <row r="83" spans="1:17" x14ac:dyDescent="0.25">
      <c r="A83" s="14">
        <v>3235</v>
      </c>
      <c r="B83" s="7" t="s">
        <v>83</v>
      </c>
      <c r="C83" s="7"/>
      <c r="D83" s="7"/>
      <c r="E83" s="7"/>
      <c r="F83" s="15"/>
      <c r="G83" s="170">
        <v>9130.01</v>
      </c>
      <c r="H83" s="171"/>
      <c r="I83" s="170">
        <v>10000</v>
      </c>
      <c r="J83" s="171"/>
      <c r="K83" s="170">
        <v>10262.280000000001</v>
      </c>
      <c r="L83" s="171"/>
      <c r="M83" s="170">
        <v>10262.280000000001</v>
      </c>
      <c r="N83" s="171"/>
      <c r="O83" s="57">
        <f t="shared" si="41"/>
        <v>112.40162935199413</v>
      </c>
      <c r="P83" s="57">
        <f t="shared" si="42"/>
        <v>100</v>
      </c>
      <c r="Q83" s="2"/>
    </row>
    <row r="84" spans="1:17" x14ac:dyDescent="0.25">
      <c r="A84" s="14">
        <v>3236</v>
      </c>
      <c r="B84" s="7" t="s">
        <v>84</v>
      </c>
      <c r="C84" s="7"/>
      <c r="D84" s="7"/>
      <c r="E84" s="7"/>
      <c r="F84" s="15"/>
      <c r="G84" s="170">
        <v>13347</v>
      </c>
      <c r="H84" s="171"/>
      <c r="I84" s="170">
        <v>15000</v>
      </c>
      <c r="J84" s="171"/>
      <c r="K84" s="170">
        <f>15827+12760</f>
        <v>28587</v>
      </c>
      <c r="L84" s="171"/>
      <c r="M84" s="170">
        <v>16247</v>
      </c>
      <c r="N84" s="171"/>
      <c r="O84" s="57">
        <f t="shared" si="41"/>
        <v>121.72772907769536</v>
      </c>
      <c r="P84" s="57">
        <f t="shared" si="42"/>
        <v>56.833525728477987</v>
      </c>
      <c r="Q84" s="2"/>
    </row>
    <row r="85" spans="1:17" x14ac:dyDescent="0.25">
      <c r="A85" s="14">
        <v>3237</v>
      </c>
      <c r="B85" s="7" t="s">
        <v>85</v>
      </c>
      <c r="C85" s="7"/>
      <c r="D85" s="7"/>
      <c r="E85" s="7"/>
      <c r="F85" s="15"/>
      <c r="G85" s="170">
        <v>21139</v>
      </c>
      <c r="H85" s="171"/>
      <c r="I85" s="170">
        <f>20000+5000+6000</f>
        <v>31000</v>
      </c>
      <c r="J85" s="171"/>
      <c r="K85" s="170">
        <f>21899+0</f>
        <v>21899</v>
      </c>
      <c r="L85" s="171"/>
      <c r="M85" s="170">
        <v>19924.02</v>
      </c>
      <c r="N85" s="171"/>
      <c r="O85" s="57">
        <f t="shared" si="41"/>
        <v>94.252424428780927</v>
      </c>
      <c r="P85" s="57">
        <f t="shared" si="42"/>
        <v>90.981414676469257</v>
      </c>
      <c r="Q85" s="2"/>
    </row>
    <row r="86" spans="1:17" x14ac:dyDescent="0.25">
      <c r="A86" s="14">
        <v>3238</v>
      </c>
      <c r="B86" s="7" t="s">
        <v>86</v>
      </c>
      <c r="C86" s="7"/>
      <c r="D86" s="7"/>
      <c r="E86" s="7"/>
      <c r="F86" s="15"/>
      <c r="G86" s="170">
        <v>34120.160000000003</v>
      </c>
      <c r="H86" s="171"/>
      <c r="I86" s="170">
        <v>30000</v>
      </c>
      <c r="J86" s="171"/>
      <c r="K86" s="170">
        <v>28153.38</v>
      </c>
      <c r="L86" s="171"/>
      <c r="M86" s="170">
        <v>28153.38</v>
      </c>
      <c r="N86" s="171"/>
      <c r="O86" s="57">
        <f t="shared" si="41"/>
        <v>82.51245011746721</v>
      </c>
      <c r="P86" s="57">
        <f t="shared" si="42"/>
        <v>100</v>
      </c>
      <c r="Q86" s="2"/>
    </row>
    <row r="87" spans="1:17" x14ac:dyDescent="0.25">
      <c r="A87" s="14">
        <v>3239</v>
      </c>
      <c r="B87" s="7" t="s">
        <v>87</v>
      </c>
      <c r="C87" s="7"/>
      <c r="D87" s="7"/>
      <c r="E87" s="7"/>
      <c r="F87" s="15"/>
      <c r="G87" s="170">
        <v>27281.21</v>
      </c>
      <c r="H87" s="171"/>
      <c r="I87" s="170">
        <f>25384.31+45000</f>
        <v>70384.31</v>
      </c>
      <c r="J87" s="171"/>
      <c r="K87" s="170">
        <v>15688.44</v>
      </c>
      <c r="L87" s="171"/>
      <c r="M87" s="170">
        <v>21652.44</v>
      </c>
      <c r="N87" s="171"/>
      <c r="O87" s="57">
        <f t="shared" si="41"/>
        <v>79.367594032669373</v>
      </c>
      <c r="P87" s="57">
        <f t="shared" si="42"/>
        <v>138.01525199446218</v>
      </c>
      <c r="Q87" s="2"/>
    </row>
    <row r="88" spans="1:17" x14ac:dyDescent="0.25">
      <c r="A88" s="12">
        <v>329</v>
      </c>
      <c r="B88" s="4" t="s">
        <v>88</v>
      </c>
      <c r="C88" s="4"/>
      <c r="D88" s="4"/>
      <c r="E88" s="4"/>
      <c r="F88" s="13"/>
      <c r="G88" s="137">
        <f>G89+G91+G92+G93+G94+G95+G96</f>
        <v>103281.1</v>
      </c>
      <c r="H88" s="138"/>
      <c r="I88" s="137">
        <f>I89+I91+I92+I93+I94+I95+I96</f>
        <v>87000</v>
      </c>
      <c r="J88" s="138"/>
      <c r="K88" s="137">
        <f>K89+K91+K92+K93+K94+K95+K96</f>
        <v>89743.83</v>
      </c>
      <c r="L88" s="138"/>
      <c r="M88" s="137">
        <f t="shared" ref="M88" si="55">M89+M91+M92+M93+M94+M95+M96</f>
        <v>159191.16999999998</v>
      </c>
      <c r="N88" s="138"/>
      <c r="O88" s="57">
        <f t="shared" si="41"/>
        <v>154.13388315964875</v>
      </c>
      <c r="P88" s="57">
        <f t="shared" si="42"/>
        <v>177.38397168919576</v>
      </c>
      <c r="Q88" s="2"/>
    </row>
    <row r="89" spans="1:17" x14ac:dyDescent="0.25">
      <c r="A89" s="17">
        <v>3291</v>
      </c>
      <c r="B89" s="184" t="s">
        <v>89</v>
      </c>
      <c r="C89" s="184"/>
      <c r="D89" s="184"/>
      <c r="E89" s="184"/>
      <c r="F89" s="185"/>
      <c r="G89" s="139">
        <v>162</v>
      </c>
      <c r="H89" s="172"/>
      <c r="I89" s="139"/>
      <c r="J89" s="172"/>
      <c r="K89" s="139">
        <v>786</v>
      </c>
      <c r="L89" s="172"/>
      <c r="M89" s="139">
        <v>486</v>
      </c>
      <c r="N89" s="172"/>
      <c r="O89" s="175">
        <f>M89/G89*100</f>
        <v>300</v>
      </c>
      <c r="P89" s="175">
        <f>M89/K89*100</f>
        <v>61.832061068702295</v>
      </c>
      <c r="Q89" s="2"/>
    </row>
    <row r="90" spans="1:17" x14ac:dyDescent="0.25">
      <c r="A90" s="31"/>
      <c r="B90" s="184"/>
      <c r="C90" s="184"/>
      <c r="D90" s="184"/>
      <c r="E90" s="184"/>
      <c r="F90" s="185"/>
      <c r="G90" s="173"/>
      <c r="H90" s="174"/>
      <c r="I90" s="173"/>
      <c r="J90" s="174"/>
      <c r="K90" s="173"/>
      <c r="L90" s="174"/>
      <c r="M90" s="173"/>
      <c r="N90" s="174"/>
      <c r="O90" s="176"/>
      <c r="P90" s="176"/>
      <c r="Q90" s="2"/>
    </row>
    <row r="91" spans="1:17" x14ac:dyDescent="0.25">
      <c r="A91" s="14">
        <v>3292</v>
      </c>
      <c r="B91" s="7" t="s">
        <v>90</v>
      </c>
      <c r="C91" s="7"/>
      <c r="D91" s="7"/>
      <c r="E91" s="7"/>
      <c r="F91" s="15"/>
      <c r="G91" s="170">
        <v>3487.6</v>
      </c>
      <c r="H91" s="171"/>
      <c r="I91" s="170">
        <v>5000</v>
      </c>
      <c r="J91" s="171"/>
      <c r="K91" s="170">
        <v>3072.62</v>
      </c>
      <c r="L91" s="171"/>
      <c r="M91" s="181">
        <v>3072.62</v>
      </c>
      <c r="N91" s="181"/>
      <c r="O91" s="57">
        <f>M91/G91*100</f>
        <v>88.101273081775432</v>
      </c>
      <c r="P91" s="57">
        <f>M91/K91*100</f>
        <v>100</v>
      </c>
      <c r="Q91" s="2"/>
    </row>
    <row r="92" spans="1:17" x14ac:dyDescent="0.25">
      <c r="A92" s="14">
        <v>3293</v>
      </c>
      <c r="B92" s="7" t="s">
        <v>91</v>
      </c>
      <c r="C92" s="7"/>
      <c r="D92" s="7"/>
      <c r="E92" s="7"/>
      <c r="F92" s="15"/>
      <c r="G92" s="170">
        <v>3780</v>
      </c>
      <c r="H92" s="171"/>
      <c r="I92" s="170">
        <v>5000</v>
      </c>
      <c r="J92" s="171"/>
      <c r="K92" s="170">
        <v>1670</v>
      </c>
      <c r="L92" s="171"/>
      <c r="M92" s="181">
        <v>1670</v>
      </c>
      <c r="N92" s="181"/>
      <c r="O92" s="57">
        <f t="shared" ref="O92:O99" si="56">M92/G92*100</f>
        <v>44.179894179894177</v>
      </c>
      <c r="P92" s="57">
        <f t="shared" ref="P92:P99" si="57">M92/K92*100</f>
        <v>100</v>
      </c>
      <c r="Q92" s="2"/>
    </row>
    <row r="93" spans="1:17" x14ac:dyDescent="0.25">
      <c r="A93" s="14">
        <v>3294</v>
      </c>
      <c r="B93" s="7" t="s">
        <v>112</v>
      </c>
      <c r="C93" s="7"/>
      <c r="D93" s="7"/>
      <c r="E93" s="7"/>
      <c r="F93" s="15"/>
      <c r="G93" s="170">
        <v>850</v>
      </c>
      <c r="H93" s="171"/>
      <c r="I93" s="170">
        <v>1000</v>
      </c>
      <c r="J93" s="171"/>
      <c r="K93" s="170">
        <v>250</v>
      </c>
      <c r="L93" s="171"/>
      <c r="M93" s="181">
        <v>250</v>
      </c>
      <c r="N93" s="181"/>
      <c r="O93" s="57">
        <f t="shared" si="56"/>
        <v>29.411764705882355</v>
      </c>
      <c r="P93" s="57">
        <f t="shared" si="57"/>
        <v>100</v>
      </c>
      <c r="Q93" s="2"/>
    </row>
    <row r="94" spans="1:17" x14ac:dyDescent="0.25">
      <c r="A94" s="14">
        <v>3295</v>
      </c>
      <c r="B94" s="7" t="s">
        <v>93</v>
      </c>
      <c r="C94" s="7"/>
      <c r="D94" s="7"/>
      <c r="E94" s="7"/>
      <c r="F94" s="15"/>
      <c r="G94" s="170">
        <v>18700</v>
      </c>
      <c r="H94" s="171"/>
      <c r="I94" s="170">
        <v>21000</v>
      </c>
      <c r="J94" s="171"/>
      <c r="K94" s="170">
        <v>21000</v>
      </c>
      <c r="L94" s="171"/>
      <c r="M94" s="181">
        <v>12100.44</v>
      </c>
      <c r="N94" s="181"/>
      <c r="O94" s="57">
        <f t="shared" si="56"/>
        <v>64.708235294117657</v>
      </c>
      <c r="P94" s="57">
        <f t="shared" si="57"/>
        <v>57.621142857142857</v>
      </c>
      <c r="Q94" s="2"/>
    </row>
    <row r="95" spans="1:17" x14ac:dyDescent="0.25">
      <c r="A95" s="14">
        <v>3296</v>
      </c>
      <c r="B95" s="7" t="s">
        <v>94</v>
      </c>
      <c r="C95" s="7"/>
      <c r="D95" s="7"/>
      <c r="E95" s="7"/>
      <c r="F95" s="15"/>
      <c r="G95" s="170"/>
      <c r="H95" s="171"/>
      <c r="I95" s="170"/>
      <c r="J95" s="171"/>
      <c r="K95" s="170"/>
      <c r="L95" s="171"/>
      <c r="M95" s="181">
        <v>87090.51</v>
      </c>
      <c r="N95" s="181"/>
      <c r="O95" s="57" t="e">
        <f t="shared" si="56"/>
        <v>#DIV/0!</v>
      </c>
      <c r="P95" s="57" t="e">
        <f t="shared" si="57"/>
        <v>#DIV/0!</v>
      </c>
      <c r="Q95" s="2"/>
    </row>
    <row r="96" spans="1:17" x14ac:dyDescent="0.25">
      <c r="A96" s="14">
        <v>3299</v>
      </c>
      <c r="B96" s="7" t="s">
        <v>88</v>
      </c>
      <c r="C96" s="7"/>
      <c r="D96" s="7"/>
      <c r="E96" s="7"/>
      <c r="F96" s="15"/>
      <c r="G96" s="170">
        <v>76301.5</v>
      </c>
      <c r="H96" s="171"/>
      <c r="I96" s="170">
        <f>50000+2000+3000</f>
        <v>55000</v>
      </c>
      <c r="J96" s="171"/>
      <c r="K96" s="170">
        <f>21465.21+17500+15000+6000+3000</f>
        <v>62965.21</v>
      </c>
      <c r="L96" s="171"/>
      <c r="M96" s="181">
        <v>54521.599999999999</v>
      </c>
      <c r="N96" s="181"/>
      <c r="O96" s="57">
        <f t="shared" si="56"/>
        <v>71.455475973604706</v>
      </c>
      <c r="P96" s="57">
        <f t="shared" si="57"/>
        <v>86.590039166072813</v>
      </c>
      <c r="Q96" s="2"/>
    </row>
    <row r="97" spans="1:17" x14ac:dyDescent="0.25">
      <c r="A97" s="21">
        <v>34</v>
      </c>
      <c r="B97" s="5" t="s">
        <v>95</v>
      </c>
      <c r="C97" s="5"/>
      <c r="D97" s="5"/>
      <c r="E97" s="5"/>
      <c r="F97" s="22"/>
      <c r="G97" s="149">
        <f>G98</f>
        <v>0</v>
      </c>
      <c r="H97" s="150"/>
      <c r="I97" s="149">
        <f t="shared" ref="I97:K106" si="58">I98</f>
        <v>0</v>
      </c>
      <c r="J97" s="150"/>
      <c r="K97" s="149">
        <f t="shared" si="58"/>
        <v>0</v>
      </c>
      <c r="L97" s="150"/>
      <c r="M97" s="149">
        <f t="shared" ref="M97:M106" si="59">M98</f>
        <v>0</v>
      </c>
      <c r="N97" s="150"/>
      <c r="O97" s="56" t="e">
        <f t="shared" si="56"/>
        <v>#DIV/0!</v>
      </c>
      <c r="P97" s="56" t="e">
        <f t="shared" si="57"/>
        <v>#DIV/0!</v>
      </c>
      <c r="Q97" s="2"/>
    </row>
    <row r="98" spans="1:17" x14ac:dyDescent="0.25">
      <c r="A98" s="12">
        <v>343</v>
      </c>
      <c r="B98" s="4" t="s">
        <v>113</v>
      </c>
      <c r="C98" s="4"/>
      <c r="D98" s="4"/>
      <c r="E98" s="4"/>
      <c r="F98" s="13"/>
      <c r="G98" s="137">
        <f>G99</f>
        <v>0</v>
      </c>
      <c r="H98" s="138"/>
      <c r="I98" s="137">
        <f t="shared" si="58"/>
        <v>0</v>
      </c>
      <c r="J98" s="138"/>
      <c r="K98" s="137">
        <f t="shared" si="58"/>
        <v>0</v>
      </c>
      <c r="L98" s="138"/>
      <c r="M98" s="137">
        <f t="shared" si="59"/>
        <v>0</v>
      </c>
      <c r="N98" s="138"/>
      <c r="O98" s="57" t="e">
        <f t="shared" si="56"/>
        <v>#DIV/0!</v>
      </c>
      <c r="P98" s="57" t="e">
        <f t="shared" si="57"/>
        <v>#DIV/0!</v>
      </c>
      <c r="Q98" s="2"/>
    </row>
    <row r="99" spans="1:17" x14ac:dyDescent="0.25">
      <c r="A99" s="17">
        <v>3433</v>
      </c>
      <c r="B99" s="8" t="s">
        <v>96</v>
      </c>
      <c r="C99" s="8"/>
      <c r="D99" s="8"/>
      <c r="E99" s="8"/>
      <c r="F99" s="32"/>
      <c r="G99" s="139"/>
      <c r="H99" s="140"/>
      <c r="I99" s="139"/>
      <c r="J99" s="140"/>
      <c r="K99" s="139"/>
      <c r="L99" s="140"/>
      <c r="M99" s="139"/>
      <c r="N99" s="140"/>
      <c r="O99" s="57" t="e">
        <f t="shared" si="56"/>
        <v>#DIV/0!</v>
      </c>
      <c r="P99" s="57" t="e">
        <f t="shared" si="57"/>
        <v>#DIV/0!</v>
      </c>
      <c r="Q99" s="2"/>
    </row>
    <row r="100" spans="1:17" x14ac:dyDescent="0.25">
      <c r="A100" s="10">
        <v>37</v>
      </c>
      <c r="B100" s="141" t="s">
        <v>201</v>
      </c>
      <c r="C100" s="141"/>
      <c r="D100" s="141"/>
      <c r="E100" s="141"/>
      <c r="F100" s="142"/>
      <c r="G100" s="145">
        <f>G102</f>
        <v>1470</v>
      </c>
      <c r="H100" s="146"/>
      <c r="I100" s="145">
        <f>I102</f>
        <v>0</v>
      </c>
      <c r="J100" s="146"/>
      <c r="K100" s="145">
        <f>K102</f>
        <v>10000</v>
      </c>
      <c r="L100" s="146"/>
      <c r="M100" s="145">
        <f>M102</f>
        <v>8434.94</v>
      </c>
      <c r="N100" s="146"/>
      <c r="O100" s="135">
        <f t="shared" ref="O100:O103" si="60">M100/G100*100</f>
        <v>573.80544217687077</v>
      </c>
      <c r="P100" s="135">
        <f t="shared" ref="P100:P103" si="61">M100/K100*100</f>
        <v>84.349400000000003</v>
      </c>
      <c r="Q100" s="2"/>
    </row>
    <row r="101" spans="1:17" x14ac:dyDescent="0.25">
      <c r="A101" s="43"/>
      <c r="B101" s="143"/>
      <c r="C101" s="143"/>
      <c r="D101" s="143"/>
      <c r="E101" s="143"/>
      <c r="F101" s="144"/>
      <c r="G101" s="147"/>
      <c r="H101" s="148"/>
      <c r="I101" s="147"/>
      <c r="J101" s="148"/>
      <c r="K101" s="147"/>
      <c r="L101" s="148"/>
      <c r="M101" s="147"/>
      <c r="N101" s="148"/>
      <c r="O101" s="136"/>
      <c r="P101" s="136"/>
      <c r="Q101" s="2"/>
    </row>
    <row r="102" spans="1:17" x14ac:dyDescent="0.25">
      <c r="A102" s="12">
        <v>372</v>
      </c>
      <c r="B102" s="4" t="s">
        <v>202</v>
      </c>
      <c r="C102" s="4"/>
      <c r="D102" s="4"/>
      <c r="E102" s="4"/>
      <c r="F102" s="13"/>
      <c r="G102" s="137">
        <f t="shared" ref="G102" si="62">G103+G104</f>
        <v>1470</v>
      </c>
      <c r="H102" s="138"/>
      <c r="I102" s="137">
        <f t="shared" ref="I102" si="63">I103+I104</f>
        <v>0</v>
      </c>
      <c r="J102" s="138"/>
      <c r="K102" s="137">
        <f t="shared" ref="K102" si="64">K103+K104</f>
        <v>10000</v>
      </c>
      <c r="L102" s="138"/>
      <c r="M102" s="137">
        <f>M103+M104</f>
        <v>8434.94</v>
      </c>
      <c r="N102" s="138"/>
      <c r="O102" s="57">
        <f t="shared" si="60"/>
        <v>573.80544217687077</v>
      </c>
      <c r="P102" s="57">
        <f t="shared" si="61"/>
        <v>84.349400000000003</v>
      </c>
      <c r="Q102" s="2"/>
    </row>
    <row r="103" spans="1:17" x14ac:dyDescent="0.25">
      <c r="A103" s="17">
        <v>3721</v>
      </c>
      <c r="B103" s="8" t="s">
        <v>203</v>
      </c>
      <c r="C103" s="8"/>
      <c r="D103" s="8"/>
      <c r="E103" s="8"/>
      <c r="F103" s="32"/>
      <c r="G103" s="139"/>
      <c r="H103" s="140"/>
      <c r="I103" s="139"/>
      <c r="J103" s="140"/>
      <c r="K103" s="139">
        <v>10000</v>
      </c>
      <c r="L103" s="140"/>
      <c r="M103" s="139">
        <v>8434.94</v>
      </c>
      <c r="N103" s="140"/>
      <c r="O103" s="57" t="e">
        <f t="shared" si="60"/>
        <v>#DIV/0!</v>
      </c>
      <c r="P103" s="57">
        <f t="shared" si="61"/>
        <v>84.349400000000003</v>
      </c>
      <c r="Q103" s="2"/>
    </row>
    <row r="104" spans="1:17" x14ac:dyDescent="0.25">
      <c r="A104" s="17">
        <v>3722</v>
      </c>
      <c r="B104" s="8" t="s">
        <v>215</v>
      </c>
      <c r="C104" s="8"/>
      <c r="D104" s="8"/>
      <c r="E104" s="8"/>
      <c r="F104" s="32"/>
      <c r="G104" s="139">
        <v>1470</v>
      </c>
      <c r="H104" s="140"/>
      <c r="I104" s="139"/>
      <c r="J104" s="140"/>
      <c r="K104" s="139"/>
      <c r="L104" s="140"/>
      <c r="M104" s="139"/>
      <c r="N104" s="140"/>
      <c r="O104" s="57">
        <f t="shared" ref="O104" si="65">M104/G104*100</f>
        <v>0</v>
      </c>
      <c r="P104" s="57" t="e">
        <f t="shared" ref="P104" si="66">M104/K104*100</f>
        <v>#DIV/0!</v>
      </c>
      <c r="Q104" s="2"/>
    </row>
    <row r="105" spans="1:17" x14ac:dyDescent="0.25">
      <c r="A105" s="21">
        <v>38</v>
      </c>
      <c r="B105" s="5" t="s">
        <v>204</v>
      </c>
      <c r="C105" s="5"/>
      <c r="D105" s="5"/>
      <c r="E105" s="5"/>
      <c r="F105" s="22"/>
      <c r="G105" s="149">
        <f>G106</f>
        <v>0</v>
      </c>
      <c r="H105" s="150"/>
      <c r="I105" s="149">
        <f t="shared" si="58"/>
        <v>0</v>
      </c>
      <c r="J105" s="150"/>
      <c r="K105" s="149">
        <f t="shared" si="58"/>
        <v>1500</v>
      </c>
      <c r="L105" s="150"/>
      <c r="M105" s="149">
        <f t="shared" si="59"/>
        <v>1500</v>
      </c>
      <c r="N105" s="150"/>
      <c r="O105" s="57" t="e">
        <f t="shared" ref="O105:O107" si="67">M105/G105*100</f>
        <v>#DIV/0!</v>
      </c>
      <c r="P105" s="57">
        <f t="shared" ref="P105:P107" si="68">M105/K105*100</f>
        <v>100</v>
      </c>
      <c r="Q105" s="2"/>
    </row>
    <row r="106" spans="1:17" x14ac:dyDescent="0.25">
      <c r="A106" s="12">
        <v>381</v>
      </c>
      <c r="B106" s="4" t="s">
        <v>45</v>
      </c>
      <c r="C106" s="4"/>
      <c r="D106" s="4"/>
      <c r="E106" s="4"/>
      <c r="F106" s="13"/>
      <c r="G106" s="137">
        <f>G107</f>
        <v>0</v>
      </c>
      <c r="H106" s="138"/>
      <c r="I106" s="137">
        <f t="shared" si="58"/>
        <v>0</v>
      </c>
      <c r="J106" s="138"/>
      <c r="K106" s="137">
        <f>K107</f>
        <v>1500</v>
      </c>
      <c r="L106" s="138"/>
      <c r="M106" s="137">
        <f t="shared" si="59"/>
        <v>1500</v>
      </c>
      <c r="N106" s="138"/>
      <c r="O106" s="57" t="e">
        <f t="shared" si="67"/>
        <v>#DIV/0!</v>
      </c>
      <c r="P106" s="57">
        <f t="shared" si="68"/>
        <v>100</v>
      </c>
      <c r="Q106" s="2"/>
    </row>
    <row r="107" spans="1:17" x14ac:dyDescent="0.25">
      <c r="A107" s="17">
        <v>3811</v>
      </c>
      <c r="B107" s="8" t="s">
        <v>205</v>
      </c>
      <c r="C107" s="8"/>
      <c r="D107" s="8"/>
      <c r="E107" s="8"/>
      <c r="F107" s="32"/>
      <c r="G107" s="139"/>
      <c r="H107" s="140"/>
      <c r="I107" s="139"/>
      <c r="J107" s="140"/>
      <c r="K107" s="139">
        <v>1500</v>
      </c>
      <c r="L107" s="140"/>
      <c r="M107" s="139">
        <v>1500</v>
      </c>
      <c r="N107" s="140"/>
      <c r="O107" s="57" t="e">
        <f t="shared" si="67"/>
        <v>#DIV/0!</v>
      </c>
      <c r="P107" s="57">
        <f t="shared" si="68"/>
        <v>100</v>
      </c>
      <c r="Q107" s="2"/>
    </row>
    <row r="108" spans="1:17" x14ac:dyDescent="0.25">
      <c r="A108" s="19">
        <v>4</v>
      </c>
      <c r="B108" s="186" t="s">
        <v>107</v>
      </c>
      <c r="C108" s="186"/>
      <c r="D108" s="186"/>
      <c r="E108" s="186"/>
      <c r="F108" s="187"/>
      <c r="G108" s="179">
        <f>G109+G112</f>
        <v>142077.94</v>
      </c>
      <c r="H108" s="180"/>
      <c r="I108" s="179">
        <f t="shared" ref="I108" si="69">I109+I112</f>
        <v>10000</v>
      </c>
      <c r="J108" s="180"/>
      <c r="K108" s="179">
        <f>K109+K112</f>
        <v>176746.53</v>
      </c>
      <c r="L108" s="180"/>
      <c r="M108" s="179">
        <f t="shared" ref="M108" si="70">M109+M112</f>
        <v>263758.38</v>
      </c>
      <c r="N108" s="180"/>
      <c r="O108" s="59">
        <f>M108/G108*100</f>
        <v>185.64344331005927</v>
      </c>
      <c r="P108" s="59">
        <f>M108/K108*100</f>
        <v>149.22973593880457</v>
      </c>
      <c r="Q108" s="2"/>
    </row>
    <row r="109" spans="1:17" x14ac:dyDescent="0.25">
      <c r="A109" s="21">
        <v>41</v>
      </c>
      <c r="B109" s="5" t="s">
        <v>97</v>
      </c>
      <c r="C109" s="5"/>
      <c r="D109" s="5"/>
      <c r="E109" s="5"/>
      <c r="F109" s="22"/>
      <c r="G109" s="149">
        <f>G110</f>
        <v>0</v>
      </c>
      <c r="H109" s="150"/>
      <c r="I109" s="149">
        <f t="shared" ref="I109:K110" si="71">I110</f>
        <v>0</v>
      </c>
      <c r="J109" s="150"/>
      <c r="K109" s="149">
        <f t="shared" si="71"/>
        <v>0</v>
      </c>
      <c r="L109" s="150"/>
      <c r="M109" s="149">
        <f t="shared" ref="M109:M110" si="72">M110</f>
        <v>0</v>
      </c>
      <c r="N109" s="150"/>
      <c r="O109" s="56" t="e">
        <f>M109/G109*100</f>
        <v>#DIV/0!</v>
      </c>
      <c r="P109" s="56" t="e">
        <f>M109/K109*100</f>
        <v>#DIV/0!</v>
      </c>
      <c r="Q109" s="2"/>
    </row>
    <row r="110" spans="1:17" x14ac:dyDescent="0.25">
      <c r="A110" s="12">
        <v>412</v>
      </c>
      <c r="B110" s="4" t="s">
        <v>98</v>
      </c>
      <c r="C110" s="4"/>
      <c r="D110" s="4"/>
      <c r="E110" s="4"/>
      <c r="F110" s="13"/>
      <c r="G110" s="137">
        <f>G111</f>
        <v>0</v>
      </c>
      <c r="H110" s="138"/>
      <c r="I110" s="137">
        <f t="shared" si="71"/>
        <v>0</v>
      </c>
      <c r="J110" s="138"/>
      <c r="K110" s="137">
        <f t="shared" si="71"/>
        <v>0</v>
      </c>
      <c r="L110" s="138"/>
      <c r="M110" s="137">
        <f t="shared" si="72"/>
        <v>0</v>
      </c>
      <c r="N110" s="138"/>
      <c r="O110" s="57" t="e">
        <f t="shared" ref="O110:O120" si="73">M110/G110*100</f>
        <v>#DIV/0!</v>
      </c>
      <c r="P110" s="57" t="e">
        <f t="shared" ref="P110:P120" si="74">M110/K110*100</f>
        <v>#DIV/0!</v>
      </c>
      <c r="Q110" s="2"/>
    </row>
    <row r="111" spans="1:17" x14ac:dyDescent="0.25">
      <c r="A111" s="14">
        <v>4123</v>
      </c>
      <c r="B111" s="7" t="s">
        <v>99</v>
      </c>
      <c r="C111" s="7"/>
      <c r="D111" s="7"/>
      <c r="E111" s="7"/>
      <c r="F111" s="15"/>
      <c r="G111" s="170"/>
      <c r="H111" s="171"/>
      <c r="I111" s="170"/>
      <c r="J111" s="171"/>
      <c r="K111" s="170"/>
      <c r="L111" s="171"/>
      <c r="M111" s="170"/>
      <c r="N111" s="171"/>
      <c r="O111" s="57" t="e">
        <f t="shared" si="73"/>
        <v>#DIV/0!</v>
      </c>
      <c r="P111" s="57" t="e">
        <f t="shared" si="74"/>
        <v>#DIV/0!</v>
      </c>
      <c r="Q111" s="2"/>
    </row>
    <row r="112" spans="1:17" x14ac:dyDescent="0.25">
      <c r="A112" s="21">
        <v>42</v>
      </c>
      <c r="B112" s="5" t="s">
        <v>100</v>
      </c>
      <c r="C112" s="5"/>
      <c r="D112" s="5"/>
      <c r="E112" s="5"/>
      <c r="F112" s="22"/>
      <c r="G112" s="149">
        <f>G113+G119</f>
        <v>142077.94</v>
      </c>
      <c r="H112" s="150"/>
      <c r="I112" s="149">
        <f t="shared" ref="I112" si="75">I113+I119</f>
        <v>10000</v>
      </c>
      <c r="J112" s="150"/>
      <c r="K112" s="149">
        <f>K113+K119</f>
        <v>176746.53</v>
      </c>
      <c r="L112" s="150"/>
      <c r="M112" s="149">
        <f t="shared" ref="M112" si="76">M113+M119</f>
        <v>263758.38</v>
      </c>
      <c r="N112" s="150"/>
      <c r="O112" s="56">
        <f t="shared" si="73"/>
        <v>185.64344331005927</v>
      </c>
      <c r="P112" s="56">
        <f t="shared" si="74"/>
        <v>149.22973593880457</v>
      </c>
      <c r="Q112" s="2"/>
    </row>
    <row r="113" spans="1:19" x14ac:dyDescent="0.25">
      <c r="A113" s="12">
        <v>422</v>
      </c>
      <c r="B113" s="4" t="s">
        <v>101</v>
      </c>
      <c r="C113" s="4"/>
      <c r="D113" s="4"/>
      <c r="E113" s="4"/>
      <c r="F113" s="13"/>
      <c r="G113" s="137">
        <f>G114+G115+G116+G117+G118</f>
        <v>125671.53</v>
      </c>
      <c r="H113" s="138"/>
      <c r="I113" s="137">
        <f t="shared" ref="I113:K113" si="77">I114+I115+I116+I117+I118</f>
        <v>0</v>
      </c>
      <c r="J113" s="138"/>
      <c r="K113" s="137">
        <f t="shared" si="77"/>
        <v>170746.53</v>
      </c>
      <c r="L113" s="138"/>
      <c r="M113" s="137">
        <f t="shared" ref="M113" si="78">M114+M115+M116+M117+M118</f>
        <v>254427.22999999998</v>
      </c>
      <c r="N113" s="138"/>
      <c r="O113" s="57">
        <f t="shared" si="73"/>
        <v>202.45415170802806</v>
      </c>
      <c r="P113" s="57">
        <f t="shared" si="74"/>
        <v>149.00872656094387</v>
      </c>
      <c r="Q113" s="2"/>
    </row>
    <row r="114" spans="1:19" x14ac:dyDescent="0.25">
      <c r="A114" s="14">
        <v>4221</v>
      </c>
      <c r="B114" s="7" t="s">
        <v>114</v>
      </c>
      <c r="C114" s="7"/>
      <c r="D114" s="7"/>
      <c r="E114" s="7"/>
      <c r="F114" s="15"/>
      <c r="G114" s="170">
        <v>84050.08</v>
      </c>
      <c r="H114" s="171"/>
      <c r="I114" s="170"/>
      <c r="J114" s="171"/>
      <c r="K114" s="170">
        <f>9000+157368.53+4378</f>
        <v>170746.53</v>
      </c>
      <c r="L114" s="171"/>
      <c r="M114" s="170">
        <v>190461.28</v>
      </c>
      <c r="N114" s="171"/>
      <c r="O114" s="57">
        <f t="shared" si="73"/>
        <v>226.60451959117705</v>
      </c>
      <c r="P114" s="57">
        <f t="shared" si="74"/>
        <v>111.54620828897666</v>
      </c>
      <c r="Q114" s="2"/>
    </row>
    <row r="115" spans="1:19" x14ac:dyDescent="0.25">
      <c r="A115" s="14">
        <v>4222</v>
      </c>
      <c r="B115" s="7" t="s">
        <v>115</v>
      </c>
      <c r="C115" s="7"/>
      <c r="D115" s="7"/>
      <c r="E115" s="7"/>
      <c r="F115" s="15"/>
      <c r="G115" s="170"/>
      <c r="H115" s="171"/>
      <c r="I115" s="170"/>
      <c r="J115" s="171"/>
      <c r="K115" s="170"/>
      <c r="L115" s="171"/>
      <c r="M115" s="170"/>
      <c r="N115" s="171"/>
      <c r="O115" s="57" t="e">
        <f t="shared" si="73"/>
        <v>#DIV/0!</v>
      </c>
      <c r="P115" s="57" t="e">
        <f t="shared" si="74"/>
        <v>#DIV/0!</v>
      </c>
      <c r="Q115" s="2"/>
    </row>
    <row r="116" spans="1:19" x14ac:dyDescent="0.25">
      <c r="A116" s="14">
        <v>4223</v>
      </c>
      <c r="B116" s="7" t="s">
        <v>102</v>
      </c>
      <c r="C116" s="7"/>
      <c r="D116" s="7"/>
      <c r="E116" s="7"/>
      <c r="F116" s="15"/>
      <c r="G116" s="170"/>
      <c r="H116" s="171"/>
      <c r="I116" s="170"/>
      <c r="J116" s="171"/>
      <c r="K116" s="170"/>
      <c r="L116" s="171"/>
      <c r="M116" s="170">
        <v>4966</v>
      </c>
      <c r="N116" s="171"/>
      <c r="O116" s="57" t="e">
        <f t="shared" si="73"/>
        <v>#DIV/0!</v>
      </c>
      <c r="P116" s="57" t="e">
        <f t="shared" si="74"/>
        <v>#DIV/0!</v>
      </c>
      <c r="Q116" s="2"/>
    </row>
    <row r="117" spans="1:19" x14ac:dyDescent="0.25">
      <c r="A117" s="14">
        <v>4225</v>
      </c>
      <c r="B117" s="7" t="s">
        <v>103</v>
      </c>
      <c r="C117" s="7"/>
      <c r="D117" s="7"/>
      <c r="E117" s="7"/>
      <c r="F117" s="15"/>
      <c r="G117" s="170"/>
      <c r="H117" s="171"/>
      <c r="I117" s="170"/>
      <c r="J117" s="171"/>
      <c r="K117" s="170"/>
      <c r="L117" s="171"/>
      <c r="M117" s="170"/>
      <c r="N117" s="171"/>
      <c r="O117" s="57" t="e">
        <f t="shared" si="73"/>
        <v>#DIV/0!</v>
      </c>
      <c r="P117" s="57" t="e">
        <f t="shared" si="74"/>
        <v>#DIV/0!</v>
      </c>
      <c r="Q117" s="2"/>
    </row>
    <row r="118" spans="1:19" x14ac:dyDescent="0.25">
      <c r="A118" s="14">
        <v>4227</v>
      </c>
      <c r="B118" s="7" t="s">
        <v>104</v>
      </c>
      <c r="C118" s="7"/>
      <c r="D118" s="7"/>
      <c r="E118" s="7"/>
      <c r="F118" s="15"/>
      <c r="G118" s="170">
        <v>41621.449999999997</v>
      </c>
      <c r="H118" s="171"/>
      <c r="I118" s="170"/>
      <c r="J118" s="171"/>
      <c r="K118" s="170">
        <f>0</f>
        <v>0</v>
      </c>
      <c r="L118" s="171"/>
      <c r="M118" s="170">
        <v>58999.95</v>
      </c>
      <c r="N118" s="171"/>
      <c r="O118" s="57">
        <f t="shared" si="73"/>
        <v>141.75371112731537</v>
      </c>
      <c r="P118" s="57" t="e">
        <f t="shared" si="74"/>
        <v>#DIV/0!</v>
      </c>
      <c r="Q118" s="2"/>
    </row>
    <row r="119" spans="1:19" x14ac:dyDescent="0.25">
      <c r="A119" s="12">
        <v>424</v>
      </c>
      <c r="B119" s="4" t="s">
        <v>105</v>
      </c>
      <c r="C119" s="4"/>
      <c r="D119" s="4"/>
      <c r="E119" s="4"/>
      <c r="F119" s="13"/>
      <c r="G119" s="137">
        <f>G120</f>
        <v>16406.41</v>
      </c>
      <c r="H119" s="138"/>
      <c r="I119" s="137">
        <f t="shared" ref="I119:K119" si="79">I120</f>
        <v>10000</v>
      </c>
      <c r="J119" s="138"/>
      <c r="K119" s="137">
        <f t="shared" si="79"/>
        <v>6000</v>
      </c>
      <c r="L119" s="138"/>
      <c r="M119" s="137">
        <f t="shared" ref="M119" si="80">M120</f>
        <v>9331.15</v>
      </c>
      <c r="N119" s="138"/>
      <c r="O119" s="57">
        <f t="shared" si="73"/>
        <v>56.875026285457942</v>
      </c>
      <c r="P119" s="57">
        <f t="shared" si="74"/>
        <v>155.51916666666665</v>
      </c>
      <c r="Q119" s="2"/>
    </row>
    <row r="120" spans="1:19" ht="15.75" thickBot="1" x14ac:dyDescent="0.3">
      <c r="A120" s="33">
        <v>4241</v>
      </c>
      <c r="B120" s="34" t="s">
        <v>106</v>
      </c>
      <c r="C120" s="34"/>
      <c r="D120" s="34"/>
      <c r="E120" s="34"/>
      <c r="F120" s="35"/>
      <c r="G120" s="177">
        <v>16406.41</v>
      </c>
      <c r="H120" s="178"/>
      <c r="I120" s="177">
        <f>10000</f>
        <v>10000</v>
      </c>
      <c r="J120" s="178"/>
      <c r="K120" s="177">
        <v>6000</v>
      </c>
      <c r="L120" s="178"/>
      <c r="M120" s="177">
        <v>9331.15</v>
      </c>
      <c r="N120" s="178"/>
      <c r="O120" s="57">
        <f t="shared" si="73"/>
        <v>56.875026285457942</v>
      </c>
      <c r="P120" s="57">
        <f t="shared" si="74"/>
        <v>155.51916666666665</v>
      </c>
      <c r="Q120" s="2"/>
    </row>
    <row r="121" spans="1:19" ht="15.75" thickBot="1" x14ac:dyDescent="0.3">
      <c r="A121" s="182" t="s">
        <v>62</v>
      </c>
      <c r="B121" s="182" t="s">
        <v>62</v>
      </c>
      <c r="C121" s="182"/>
      <c r="D121" s="182"/>
      <c r="E121" s="182"/>
      <c r="F121" s="182"/>
      <c r="G121" s="183">
        <f>G57+G108</f>
        <v>11439864</v>
      </c>
      <c r="H121" s="183"/>
      <c r="I121" s="183">
        <f t="shared" ref="I121:K121" si="81">I57+I108</f>
        <v>10722688.310000001</v>
      </c>
      <c r="J121" s="183"/>
      <c r="K121" s="183">
        <f t="shared" si="81"/>
        <v>10905742.939999999</v>
      </c>
      <c r="L121" s="183"/>
      <c r="M121" s="183">
        <f t="shared" ref="M121" si="82">M57+M108</f>
        <v>12666479.68</v>
      </c>
      <c r="N121" s="183"/>
      <c r="O121" s="82">
        <f t="shared" ref="O121" si="83">M121/G121*100</f>
        <v>110.722292502778</v>
      </c>
      <c r="P121" s="82">
        <f>M121/K121*100</f>
        <v>116.14504165087169</v>
      </c>
      <c r="Q121" s="2"/>
    </row>
    <row r="122" spans="1:19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S122" s="37"/>
    </row>
    <row r="124" spans="1:19" x14ac:dyDescent="0.25">
      <c r="K124" s="37"/>
      <c r="S124" s="37"/>
    </row>
  </sheetData>
  <customSheetViews>
    <customSheetView guid="{005C429F-8448-44DF-83AD-8A930973E873}">
      <selection activeCell="G12" sqref="G12:L12"/>
      <rowBreaks count="1" manualBreakCount="1">
        <brk id="57" max="16383" man="1"/>
      </rowBreaks>
      <pageMargins left="0.7" right="0.7" top="0.75" bottom="0.75" header="0.3" footer="0.3"/>
      <pageSetup paperSize="9" scale="71" orientation="portrait" r:id="rId1"/>
    </customSheetView>
  </customSheetViews>
  <mergeCells count="439">
    <mergeCell ref="I118:J118"/>
    <mergeCell ref="I119:J119"/>
    <mergeCell ref="I120:J120"/>
    <mergeCell ref="I121:J121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81:J81"/>
    <mergeCell ref="I82:J82"/>
    <mergeCell ref="I83:J83"/>
    <mergeCell ref="I84:J84"/>
    <mergeCell ref="I85:J85"/>
    <mergeCell ref="I86:J86"/>
    <mergeCell ref="I87:J87"/>
    <mergeCell ref="I88:J88"/>
    <mergeCell ref="I89:J9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51:J51"/>
    <mergeCell ref="I52:J52"/>
    <mergeCell ref="I53:J53"/>
    <mergeCell ref="I54:J54"/>
    <mergeCell ref="I55:J55"/>
    <mergeCell ref="I57:J57"/>
    <mergeCell ref="I58:J58"/>
    <mergeCell ref="I59:J59"/>
    <mergeCell ref="I60:J60"/>
    <mergeCell ref="I36:J37"/>
    <mergeCell ref="I38:J38"/>
    <mergeCell ref="I39:J39"/>
    <mergeCell ref="I40:J41"/>
    <mergeCell ref="I42:J42"/>
    <mergeCell ref="I43:J44"/>
    <mergeCell ref="I45:J46"/>
    <mergeCell ref="I47:J48"/>
    <mergeCell ref="I49:J50"/>
    <mergeCell ref="I22:J22"/>
    <mergeCell ref="I23:J23"/>
    <mergeCell ref="I24:J25"/>
    <mergeCell ref="I26:J27"/>
    <mergeCell ref="I28:J29"/>
    <mergeCell ref="I30:J31"/>
    <mergeCell ref="I32:J32"/>
    <mergeCell ref="I33:J33"/>
    <mergeCell ref="I34:J35"/>
    <mergeCell ref="I8:J9"/>
    <mergeCell ref="I10:J10"/>
    <mergeCell ref="I11:J11"/>
    <mergeCell ref="I12:J13"/>
    <mergeCell ref="I14:J14"/>
    <mergeCell ref="I15:J15"/>
    <mergeCell ref="I16:J17"/>
    <mergeCell ref="I18:J19"/>
    <mergeCell ref="I20:J21"/>
    <mergeCell ref="A10:F10"/>
    <mergeCell ref="A8:F9"/>
    <mergeCell ref="G11:H11"/>
    <mergeCell ref="B49:F50"/>
    <mergeCell ref="B43:F44"/>
    <mergeCell ref="B40:F41"/>
    <mergeCell ref="B36:F37"/>
    <mergeCell ref="B30:F31"/>
    <mergeCell ref="B11:F11"/>
    <mergeCell ref="B12:F13"/>
    <mergeCell ref="B16:F17"/>
    <mergeCell ref="B18:F19"/>
    <mergeCell ref="B20:F21"/>
    <mergeCell ref="B45:F46"/>
    <mergeCell ref="B47:F48"/>
    <mergeCell ref="B24:F25"/>
    <mergeCell ref="G54:H54"/>
    <mergeCell ref="G10:H10"/>
    <mergeCell ref="G12:H13"/>
    <mergeCell ref="G14:H14"/>
    <mergeCell ref="G43:H44"/>
    <mergeCell ref="G45:H46"/>
    <mergeCell ref="G47:H48"/>
    <mergeCell ref="G49:H50"/>
    <mergeCell ref="G22:H22"/>
    <mergeCell ref="G23:H23"/>
    <mergeCell ref="G32:H32"/>
    <mergeCell ref="G33:H33"/>
    <mergeCell ref="G38:H38"/>
    <mergeCell ref="G39:H39"/>
    <mergeCell ref="G16:H17"/>
    <mergeCell ref="G18:H19"/>
    <mergeCell ref="G20:H21"/>
    <mergeCell ref="G30:H31"/>
    <mergeCell ref="G36:H37"/>
    <mergeCell ref="G40:H41"/>
    <mergeCell ref="G24:H25"/>
    <mergeCell ref="K10:L10"/>
    <mergeCell ref="M10:N10"/>
    <mergeCell ref="G8:H9"/>
    <mergeCell ref="K8:L9"/>
    <mergeCell ref="M8:N9"/>
    <mergeCell ref="G42:H42"/>
    <mergeCell ref="G51:H51"/>
    <mergeCell ref="G52:H52"/>
    <mergeCell ref="G53:H53"/>
    <mergeCell ref="K18:L19"/>
    <mergeCell ref="M18:N19"/>
    <mergeCell ref="K20:L21"/>
    <mergeCell ref="M20:N21"/>
    <mergeCell ref="K15:L15"/>
    <mergeCell ref="M15:N15"/>
    <mergeCell ref="K16:L17"/>
    <mergeCell ref="M16:N17"/>
    <mergeCell ref="K12:L13"/>
    <mergeCell ref="M12:N13"/>
    <mergeCell ref="K14:L14"/>
    <mergeCell ref="M14:N14"/>
    <mergeCell ref="M33:N33"/>
    <mergeCell ref="K36:L37"/>
    <mergeCell ref="M36:N37"/>
    <mergeCell ref="K22:L22"/>
    <mergeCell ref="M22:N22"/>
    <mergeCell ref="K23:L23"/>
    <mergeCell ref="M23:N23"/>
    <mergeCell ref="K54:L54"/>
    <mergeCell ref="M54:N54"/>
    <mergeCell ref="K51:L51"/>
    <mergeCell ref="M51:N51"/>
    <mergeCell ref="K52:L52"/>
    <mergeCell ref="M52:N52"/>
    <mergeCell ref="K47:L48"/>
    <mergeCell ref="M47:N48"/>
    <mergeCell ref="K49:L50"/>
    <mergeCell ref="M49:N50"/>
    <mergeCell ref="K24:L25"/>
    <mergeCell ref="M24:N25"/>
    <mergeCell ref="M11:N11"/>
    <mergeCell ref="O12:O13"/>
    <mergeCell ref="P12:P13"/>
    <mergeCell ref="O16:O17"/>
    <mergeCell ref="O18:O19"/>
    <mergeCell ref="O20:O21"/>
    <mergeCell ref="O30:O31"/>
    <mergeCell ref="O36:O37"/>
    <mergeCell ref="K53:L53"/>
    <mergeCell ref="M53:N53"/>
    <mergeCell ref="K43:L44"/>
    <mergeCell ref="M43:N44"/>
    <mergeCell ref="K45:L46"/>
    <mergeCell ref="M45:N46"/>
    <mergeCell ref="K40:L41"/>
    <mergeCell ref="M40:N41"/>
    <mergeCell ref="K42:L42"/>
    <mergeCell ref="M42:N42"/>
    <mergeCell ref="O40:O41"/>
    <mergeCell ref="K38:L38"/>
    <mergeCell ref="M38:N38"/>
    <mergeCell ref="K39:L39"/>
    <mergeCell ref="M39:N39"/>
    <mergeCell ref="K33:L33"/>
    <mergeCell ref="B57:F57"/>
    <mergeCell ref="G57:H57"/>
    <mergeCell ref="K57:L57"/>
    <mergeCell ref="M57:N57"/>
    <mergeCell ref="P43:P44"/>
    <mergeCell ref="P45:P46"/>
    <mergeCell ref="P47:P48"/>
    <mergeCell ref="P49:P50"/>
    <mergeCell ref="K11:L11"/>
    <mergeCell ref="A55:F55"/>
    <mergeCell ref="G55:H55"/>
    <mergeCell ref="K55:L55"/>
    <mergeCell ref="M55:N55"/>
    <mergeCell ref="O43:O44"/>
    <mergeCell ref="O45:O46"/>
    <mergeCell ref="O47:O48"/>
    <mergeCell ref="O49:O50"/>
    <mergeCell ref="P16:P17"/>
    <mergeCell ref="P18:P19"/>
    <mergeCell ref="P20:P21"/>
    <mergeCell ref="P30:P31"/>
    <mergeCell ref="P36:P37"/>
    <mergeCell ref="P40:P41"/>
    <mergeCell ref="G15:H15"/>
    <mergeCell ref="A121:F121"/>
    <mergeCell ref="G121:H121"/>
    <mergeCell ref="K121:L121"/>
    <mergeCell ref="M121:N121"/>
    <mergeCell ref="G58:H58"/>
    <mergeCell ref="G59:H59"/>
    <mergeCell ref="K59:L59"/>
    <mergeCell ref="M59:N59"/>
    <mergeCell ref="B89:F90"/>
    <mergeCell ref="G60:H60"/>
    <mergeCell ref="K60:L60"/>
    <mergeCell ref="M60:N60"/>
    <mergeCell ref="G61:H61"/>
    <mergeCell ref="K61:L61"/>
    <mergeCell ref="M61:N61"/>
    <mergeCell ref="G62:H62"/>
    <mergeCell ref="K62:L62"/>
    <mergeCell ref="M62:N62"/>
    <mergeCell ref="G63:H63"/>
    <mergeCell ref="K63:L63"/>
    <mergeCell ref="M63:N63"/>
    <mergeCell ref="B108:F108"/>
    <mergeCell ref="G66:H66"/>
    <mergeCell ref="K66:L66"/>
    <mergeCell ref="M66:N66"/>
    <mergeCell ref="G67:H67"/>
    <mergeCell ref="K67:L67"/>
    <mergeCell ref="M67:N67"/>
    <mergeCell ref="G64:H64"/>
    <mergeCell ref="K64:L64"/>
    <mergeCell ref="M64:N64"/>
    <mergeCell ref="G65:H65"/>
    <mergeCell ref="K65:L65"/>
    <mergeCell ref="M65:N65"/>
    <mergeCell ref="G71:H71"/>
    <mergeCell ref="K71:L71"/>
    <mergeCell ref="M71:N71"/>
    <mergeCell ref="G72:H72"/>
    <mergeCell ref="K72:L72"/>
    <mergeCell ref="M72:N72"/>
    <mergeCell ref="G68:H68"/>
    <mergeCell ref="K68:L68"/>
    <mergeCell ref="M68:N68"/>
    <mergeCell ref="G69:H69"/>
    <mergeCell ref="K69:L69"/>
    <mergeCell ref="M69:N69"/>
    <mergeCell ref="I70:J70"/>
    <mergeCell ref="I71:J71"/>
    <mergeCell ref="I72:J72"/>
    <mergeCell ref="G75:H75"/>
    <mergeCell ref="K75:L75"/>
    <mergeCell ref="M75:N75"/>
    <mergeCell ref="G76:H76"/>
    <mergeCell ref="K76:L76"/>
    <mergeCell ref="M76:N76"/>
    <mergeCell ref="G73:H73"/>
    <mergeCell ref="K73:L73"/>
    <mergeCell ref="M73:N73"/>
    <mergeCell ref="G74:H74"/>
    <mergeCell ref="K74:L74"/>
    <mergeCell ref="M74:N74"/>
    <mergeCell ref="I73:J73"/>
    <mergeCell ref="I74:J74"/>
    <mergeCell ref="I75:J75"/>
    <mergeCell ref="I76:J76"/>
    <mergeCell ref="G79:H79"/>
    <mergeCell ref="K79:L79"/>
    <mergeCell ref="M79:N79"/>
    <mergeCell ref="G80:H80"/>
    <mergeCell ref="K80:L80"/>
    <mergeCell ref="M80:N80"/>
    <mergeCell ref="G77:H77"/>
    <mergeCell ref="K77:L77"/>
    <mergeCell ref="M77:N77"/>
    <mergeCell ref="G78:H78"/>
    <mergeCell ref="K78:L78"/>
    <mergeCell ref="M78:N78"/>
    <mergeCell ref="I77:J77"/>
    <mergeCell ref="I78:J78"/>
    <mergeCell ref="I79:J79"/>
    <mergeCell ref="I80:J80"/>
    <mergeCell ref="G84:H84"/>
    <mergeCell ref="K84:L84"/>
    <mergeCell ref="M84:N84"/>
    <mergeCell ref="G85:H85"/>
    <mergeCell ref="K85:L85"/>
    <mergeCell ref="M85:N85"/>
    <mergeCell ref="G82:H82"/>
    <mergeCell ref="K82:L82"/>
    <mergeCell ref="M82:N82"/>
    <mergeCell ref="G83:H83"/>
    <mergeCell ref="K83:L83"/>
    <mergeCell ref="M83:N83"/>
    <mergeCell ref="G88:H88"/>
    <mergeCell ref="K88:L88"/>
    <mergeCell ref="M88:N88"/>
    <mergeCell ref="G86:H86"/>
    <mergeCell ref="K86:L86"/>
    <mergeCell ref="M86:N86"/>
    <mergeCell ref="G87:H87"/>
    <mergeCell ref="K87:L87"/>
    <mergeCell ref="M87:N87"/>
    <mergeCell ref="G92:H92"/>
    <mergeCell ref="K92:L92"/>
    <mergeCell ref="M92:N92"/>
    <mergeCell ref="G93:H93"/>
    <mergeCell ref="K93:L93"/>
    <mergeCell ref="M93:N93"/>
    <mergeCell ref="G91:H91"/>
    <mergeCell ref="K91:L91"/>
    <mergeCell ref="M91:N91"/>
    <mergeCell ref="I91:J91"/>
    <mergeCell ref="I92:J92"/>
    <mergeCell ref="I93:J93"/>
    <mergeCell ref="G96:H96"/>
    <mergeCell ref="K96:L96"/>
    <mergeCell ref="M96:N96"/>
    <mergeCell ref="G97:H97"/>
    <mergeCell ref="K97:L97"/>
    <mergeCell ref="M97:N97"/>
    <mergeCell ref="G94:H94"/>
    <mergeCell ref="K94:L94"/>
    <mergeCell ref="M94:N94"/>
    <mergeCell ref="G95:H95"/>
    <mergeCell ref="K95:L95"/>
    <mergeCell ref="M95:N95"/>
    <mergeCell ref="I94:J94"/>
    <mergeCell ref="I95:J95"/>
    <mergeCell ref="I96:J96"/>
    <mergeCell ref="I97:J97"/>
    <mergeCell ref="G108:H108"/>
    <mergeCell ref="K108:L108"/>
    <mergeCell ref="M108:N108"/>
    <mergeCell ref="G109:H109"/>
    <mergeCell ref="K109:L109"/>
    <mergeCell ref="M109:N109"/>
    <mergeCell ref="G98:H98"/>
    <mergeCell ref="K98:L98"/>
    <mergeCell ref="M98:N98"/>
    <mergeCell ref="G99:H99"/>
    <mergeCell ref="K99:L99"/>
    <mergeCell ref="M99:N99"/>
    <mergeCell ref="G102:H102"/>
    <mergeCell ref="K102:L102"/>
    <mergeCell ref="M102:N102"/>
    <mergeCell ref="G103:H103"/>
    <mergeCell ref="K103:L103"/>
    <mergeCell ref="M103:N103"/>
    <mergeCell ref="G105:H105"/>
    <mergeCell ref="K105:L105"/>
    <mergeCell ref="M105:N105"/>
    <mergeCell ref="I98:J98"/>
    <mergeCell ref="I99:J99"/>
    <mergeCell ref="I100:J101"/>
    <mergeCell ref="G112:H112"/>
    <mergeCell ref="K112:L112"/>
    <mergeCell ref="M112:N112"/>
    <mergeCell ref="G113:H113"/>
    <mergeCell ref="K113:L113"/>
    <mergeCell ref="M113:N113"/>
    <mergeCell ref="G110:H110"/>
    <mergeCell ref="K110:L110"/>
    <mergeCell ref="M110:N110"/>
    <mergeCell ref="G111:H111"/>
    <mergeCell ref="K111:L111"/>
    <mergeCell ref="M111:N111"/>
    <mergeCell ref="K116:L116"/>
    <mergeCell ref="M116:N116"/>
    <mergeCell ref="G117:H117"/>
    <mergeCell ref="K117:L117"/>
    <mergeCell ref="M117:N117"/>
    <mergeCell ref="G114:H114"/>
    <mergeCell ref="K114:L114"/>
    <mergeCell ref="M114:N114"/>
    <mergeCell ref="G115:H115"/>
    <mergeCell ref="K115:L115"/>
    <mergeCell ref="M115:N115"/>
    <mergeCell ref="I117:J117"/>
    <mergeCell ref="A5:P5"/>
    <mergeCell ref="M81:N81"/>
    <mergeCell ref="G89:H90"/>
    <mergeCell ref="K89:L90"/>
    <mergeCell ref="M89:N90"/>
    <mergeCell ref="O89:O90"/>
    <mergeCell ref="P89:P90"/>
    <mergeCell ref="G120:H120"/>
    <mergeCell ref="K120:L120"/>
    <mergeCell ref="M120:N120"/>
    <mergeCell ref="K58:L58"/>
    <mergeCell ref="M58:N58"/>
    <mergeCell ref="G70:H70"/>
    <mergeCell ref="K70:L70"/>
    <mergeCell ref="M70:N70"/>
    <mergeCell ref="G81:H81"/>
    <mergeCell ref="K81:L81"/>
    <mergeCell ref="G118:H118"/>
    <mergeCell ref="K118:L118"/>
    <mergeCell ref="M118:N118"/>
    <mergeCell ref="G119:H119"/>
    <mergeCell ref="K119:L119"/>
    <mergeCell ref="M119:N119"/>
    <mergeCell ref="G116:H116"/>
    <mergeCell ref="O24:O25"/>
    <mergeCell ref="P24:P25"/>
    <mergeCell ref="B28:F29"/>
    <mergeCell ref="G28:H29"/>
    <mergeCell ref="K28:L29"/>
    <mergeCell ref="M28:N29"/>
    <mergeCell ref="B34:F35"/>
    <mergeCell ref="G34:H35"/>
    <mergeCell ref="K34:L35"/>
    <mergeCell ref="M34:N35"/>
    <mergeCell ref="B26:F27"/>
    <mergeCell ref="G26:H27"/>
    <mergeCell ref="K26:L27"/>
    <mergeCell ref="M26:N27"/>
    <mergeCell ref="O26:O27"/>
    <mergeCell ref="O28:O29"/>
    <mergeCell ref="P26:P27"/>
    <mergeCell ref="P28:P29"/>
    <mergeCell ref="K30:L31"/>
    <mergeCell ref="M30:N31"/>
    <mergeCell ref="K32:L32"/>
    <mergeCell ref="M32:N32"/>
    <mergeCell ref="O34:O35"/>
    <mergeCell ref="P34:P35"/>
    <mergeCell ref="O100:O101"/>
    <mergeCell ref="P100:P101"/>
    <mergeCell ref="G106:H106"/>
    <mergeCell ref="K106:L106"/>
    <mergeCell ref="M106:N106"/>
    <mergeCell ref="G107:H107"/>
    <mergeCell ref="K107:L107"/>
    <mergeCell ref="M107:N107"/>
    <mergeCell ref="B100:F101"/>
    <mergeCell ref="G100:H101"/>
    <mergeCell ref="K100:L101"/>
    <mergeCell ref="M100:N101"/>
    <mergeCell ref="I102:J102"/>
    <mergeCell ref="I103:J103"/>
    <mergeCell ref="I105:J105"/>
    <mergeCell ref="I106:J106"/>
    <mergeCell ref="I107:J107"/>
    <mergeCell ref="G104:H104"/>
    <mergeCell ref="I104:J104"/>
    <mergeCell ref="K104:L104"/>
    <mergeCell ref="M104:N104"/>
  </mergeCells>
  <pageMargins left="0.7" right="0.7" top="0.75" bottom="0.75" header="0.3" footer="0.3"/>
  <pageSetup paperSize="9" scale="63" orientation="portrait" r:id="rId2"/>
  <rowBreaks count="1" manualBreakCount="1">
    <brk id="56" max="16383" man="1"/>
  </rowBreaks>
  <ignoredErrors>
    <ignoredError sqref="L64 K63:L63 L62 L60 K61:L61 K60 K62 I60:J62" formula="1"/>
    <ignoredError sqref="O14:P15 O105:P120 O57:P103 P104 O17:P54 O1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8"/>
  <sheetViews>
    <sheetView tabSelected="1" zoomScaleNormal="100" workbookViewId="0">
      <selection activeCell="M58" sqref="M58:N59"/>
    </sheetView>
  </sheetViews>
  <sheetFormatPr defaultRowHeight="15" x14ac:dyDescent="0.25"/>
  <cols>
    <col min="1" max="6" width="9.7109375" customWidth="1"/>
    <col min="7" max="18" width="8.85546875" customWidth="1"/>
  </cols>
  <sheetData>
    <row r="1" spans="1:18" x14ac:dyDescent="0.25">
      <c r="A1" s="1" t="s">
        <v>26</v>
      </c>
    </row>
    <row r="2" spans="1:18" x14ac:dyDescent="0.25">
      <c r="A2" t="s">
        <v>24</v>
      </c>
    </row>
    <row r="3" spans="1:18" x14ac:dyDescent="0.25">
      <c r="A3" t="s">
        <v>25</v>
      </c>
    </row>
    <row r="5" spans="1:18" ht="15" customHeight="1" x14ac:dyDescent="0.25">
      <c r="A5" s="233" t="s">
        <v>27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</row>
    <row r="6" spans="1:18" ht="15.75" thickBot="1" x14ac:dyDescent="0.3"/>
    <row r="7" spans="1:18" x14ac:dyDescent="0.25">
      <c r="A7" s="281" t="s">
        <v>14</v>
      </c>
      <c r="B7" s="282"/>
      <c r="C7" s="282"/>
      <c r="D7" s="282"/>
      <c r="E7" s="282"/>
      <c r="F7" s="283"/>
      <c r="G7" s="210" t="s">
        <v>166</v>
      </c>
      <c r="H7" s="211"/>
      <c r="I7" s="210" t="s">
        <v>211</v>
      </c>
      <c r="J7" s="211"/>
      <c r="K7" s="210" t="s">
        <v>208</v>
      </c>
      <c r="L7" s="211"/>
      <c r="M7" s="214" t="s">
        <v>57</v>
      </c>
      <c r="N7" s="214"/>
      <c r="O7" s="25" t="s">
        <v>58</v>
      </c>
      <c r="P7" s="25" t="s">
        <v>58</v>
      </c>
    </row>
    <row r="8" spans="1:18" x14ac:dyDescent="0.25">
      <c r="A8" s="284"/>
      <c r="B8" s="285"/>
      <c r="C8" s="285"/>
      <c r="D8" s="285"/>
      <c r="E8" s="285"/>
      <c r="F8" s="286"/>
      <c r="G8" s="212"/>
      <c r="H8" s="213"/>
      <c r="I8" s="212"/>
      <c r="J8" s="213"/>
      <c r="K8" s="212"/>
      <c r="L8" s="213"/>
      <c r="M8" s="215"/>
      <c r="N8" s="215"/>
      <c r="O8" s="28" t="s">
        <v>209</v>
      </c>
      <c r="P8" s="26" t="s">
        <v>220</v>
      </c>
    </row>
    <row r="9" spans="1:18" ht="15.75" thickBot="1" x14ac:dyDescent="0.3">
      <c r="A9" s="208">
        <v>1</v>
      </c>
      <c r="B9" s="209"/>
      <c r="C9" s="209"/>
      <c r="D9" s="209"/>
      <c r="E9" s="209"/>
      <c r="F9" s="216"/>
      <c r="G9" s="208">
        <v>2</v>
      </c>
      <c r="H9" s="209"/>
      <c r="I9" s="208">
        <v>3</v>
      </c>
      <c r="J9" s="209"/>
      <c r="K9" s="208">
        <v>4</v>
      </c>
      <c r="L9" s="209"/>
      <c r="M9" s="208">
        <v>5</v>
      </c>
      <c r="N9" s="209"/>
      <c r="O9" s="27">
        <v>6</v>
      </c>
      <c r="P9" s="27">
        <v>7</v>
      </c>
    </row>
    <row r="10" spans="1:18" x14ac:dyDescent="0.25">
      <c r="A10" s="275" t="s">
        <v>28</v>
      </c>
      <c r="B10" s="276"/>
      <c r="C10" s="276"/>
      <c r="D10" s="276"/>
      <c r="E10" s="276"/>
      <c r="F10" s="277"/>
      <c r="G10" s="297">
        <f>G11+G54+G103+G110+G129</f>
        <v>11439863.999999998</v>
      </c>
      <c r="H10" s="297"/>
      <c r="I10" s="297">
        <f>I11+I54+I103+I110+I129</f>
        <v>10722688.310000001</v>
      </c>
      <c r="J10" s="297"/>
      <c r="K10" s="297">
        <f>K11+K54+K103+K110+K129</f>
        <v>10905742.940000001</v>
      </c>
      <c r="L10" s="297"/>
      <c r="M10" s="297">
        <f>M11+M54+M103+M110+M129+M147</f>
        <v>12666479.679999996</v>
      </c>
      <c r="N10" s="297"/>
      <c r="O10" s="60">
        <f>M10/G10*100</f>
        <v>110.72229250277799</v>
      </c>
      <c r="P10" s="60">
        <f t="shared" ref="P10:P11" si="0">M10/K10*100</f>
        <v>116.14504165087165</v>
      </c>
    </row>
    <row r="11" spans="1:18" x14ac:dyDescent="0.25">
      <c r="A11" s="272" t="s">
        <v>135</v>
      </c>
      <c r="B11" s="273"/>
      <c r="C11" s="273"/>
      <c r="D11" s="273"/>
      <c r="E11" s="273"/>
      <c r="F11" s="274"/>
      <c r="G11" s="298">
        <f>G12+G42+G45+G48</f>
        <v>10873996.789999999</v>
      </c>
      <c r="H11" s="299"/>
      <c r="I11" s="298">
        <f>I12+I42+I45+I48</f>
        <v>10499288.310000001</v>
      </c>
      <c r="J11" s="299"/>
      <c r="K11" s="298">
        <f>K12+K42+K45+K48</f>
        <v>10594902.23</v>
      </c>
      <c r="L11" s="299"/>
      <c r="M11" s="298">
        <f>M12+M42+M45+M48</f>
        <v>11745788.369999997</v>
      </c>
      <c r="N11" s="299"/>
      <c r="O11" s="61">
        <f>M11/G11*100</f>
        <v>108.0172138803804</v>
      </c>
      <c r="P11" s="61">
        <f t="shared" si="0"/>
        <v>110.86264049460696</v>
      </c>
    </row>
    <row r="12" spans="1:18" x14ac:dyDescent="0.25">
      <c r="A12" s="237" t="s">
        <v>29</v>
      </c>
      <c r="B12" s="238"/>
      <c r="C12" s="238"/>
      <c r="D12" s="238"/>
      <c r="E12" s="238"/>
      <c r="F12" s="239"/>
      <c r="G12" s="261">
        <f>G14</f>
        <v>1059478.17</v>
      </c>
      <c r="H12" s="262"/>
      <c r="I12" s="261">
        <f>I14</f>
        <v>1178288.31</v>
      </c>
      <c r="J12" s="262"/>
      <c r="K12" s="261">
        <f>K14</f>
        <v>1112155.7</v>
      </c>
      <c r="L12" s="262"/>
      <c r="M12" s="261">
        <f>M14</f>
        <v>1112106.24</v>
      </c>
      <c r="N12" s="262"/>
      <c r="O12" s="304">
        <f>M12/G12*100</f>
        <v>104.96735765683592</v>
      </c>
      <c r="P12" s="304">
        <f>M12/K12*100</f>
        <v>99.995552780964033</v>
      </c>
    </row>
    <row r="13" spans="1:18" x14ac:dyDescent="0.25">
      <c r="A13" s="237" t="s">
        <v>30</v>
      </c>
      <c r="B13" s="238"/>
      <c r="C13" s="238"/>
      <c r="D13" s="238"/>
      <c r="E13" s="238"/>
      <c r="F13" s="239"/>
      <c r="G13" s="240"/>
      <c r="H13" s="241"/>
      <c r="I13" s="240"/>
      <c r="J13" s="241"/>
      <c r="K13" s="240"/>
      <c r="L13" s="241"/>
      <c r="M13" s="240"/>
      <c r="N13" s="241"/>
      <c r="O13" s="304"/>
      <c r="P13" s="304"/>
    </row>
    <row r="14" spans="1:18" x14ac:dyDescent="0.25">
      <c r="A14" s="43">
        <v>32</v>
      </c>
      <c r="B14" s="44" t="s">
        <v>116</v>
      </c>
      <c r="C14" s="44"/>
      <c r="D14" s="44"/>
      <c r="E14" s="44"/>
      <c r="F14" s="45"/>
      <c r="G14" s="289">
        <f>G15+G20+G27+G37</f>
        <v>1059478.17</v>
      </c>
      <c r="H14" s="290"/>
      <c r="I14" s="289">
        <f>I15+I20+I27+I37</f>
        <v>1178288.31</v>
      </c>
      <c r="J14" s="290"/>
      <c r="K14" s="289">
        <f>K15+K20+K27+K37</f>
        <v>1112155.7</v>
      </c>
      <c r="L14" s="290"/>
      <c r="M14" s="289">
        <f>M15+M20+M27+M37</f>
        <v>1112106.24</v>
      </c>
      <c r="N14" s="290"/>
      <c r="O14" s="62">
        <f>M14/G14*100</f>
        <v>104.96735765683592</v>
      </c>
      <c r="P14" s="62">
        <f>M14/K14*100</f>
        <v>99.995552780964033</v>
      </c>
      <c r="R14" s="37"/>
    </row>
    <row r="15" spans="1:18" x14ac:dyDescent="0.25">
      <c r="A15" s="21">
        <v>321</v>
      </c>
      <c r="B15" s="5" t="s">
        <v>117</v>
      </c>
      <c r="C15" s="5"/>
      <c r="D15" s="5"/>
      <c r="E15" s="5"/>
      <c r="F15" s="13"/>
      <c r="G15" s="287">
        <f>SUM(G16:H19)</f>
        <v>267798.57</v>
      </c>
      <c r="H15" s="288"/>
      <c r="I15" s="287">
        <f>SUM(I16:J19)</f>
        <v>305000</v>
      </c>
      <c r="J15" s="288"/>
      <c r="K15" s="287">
        <f>SUM(K16:L19)</f>
        <v>311349.26</v>
      </c>
      <c r="L15" s="288"/>
      <c r="M15" s="287">
        <f>SUM(M16:N19)</f>
        <v>311349.26</v>
      </c>
      <c r="N15" s="288"/>
      <c r="O15" s="56">
        <f>M15/G15*100</f>
        <v>116.26248041578415</v>
      </c>
      <c r="P15" s="56">
        <f>M15/K15*100</f>
        <v>100</v>
      </c>
    </row>
    <row r="16" spans="1:18" x14ac:dyDescent="0.25">
      <c r="A16" s="12">
        <v>3211</v>
      </c>
      <c r="B16" s="4" t="s">
        <v>71</v>
      </c>
      <c r="C16" s="4"/>
      <c r="D16" s="4"/>
      <c r="E16" s="4"/>
      <c r="F16" s="13"/>
      <c r="G16" s="96">
        <v>37529.370000000003</v>
      </c>
      <c r="H16" s="97"/>
      <c r="I16" s="96">
        <v>70000</v>
      </c>
      <c r="J16" s="97"/>
      <c r="K16" s="96">
        <v>51456.26</v>
      </c>
      <c r="L16" s="97"/>
      <c r="M16" s="96">
        <v>51456.26</v>
      </c>
      <c r="N16" s="97"/>
      <c r="O16" s="71">
        <f t="shared" ref="O16:O41" si="1">M16/G16*100</f>
        <v>137.10930932227211</v>
      </c>
      <c r="P16" s="71">
        <f t="shared" ref="P16:P41" si="2">M16/K16*100</f>
        <v>100</v>
      </c>
    </row>
    <row r="17" spans="1:16" x14ac:dyDescent="0.25">
      <c r="A17" s="12">
        <v>3212</v>
      </c>
      <c r="B17" s="4" t="s">
        <v>118</v>
      </c>
      <c r="C17" s="4"/>
      <c r="D17" s="4"/>
      <c r="E17" s="4"/>
      <c r="F17" s="13"/>
      <c r="G17" s="96">
        <v>217031</v>
      </c>
      <c r="H17" s="97"/>
      <c r="I17" s="96">
        <v>215000</v>
      </c>
      <c r="J17" s="97"/>
      <c r="K17" s="96">
        <v>245149</v>
      </c>
      <c r="L17" s="97"/>
      <c r="M17" s="96">
        <v>245149</v>
      </c>
      <c r="N17" s="97"/>
      <c r="O17" s="71">
        <f>M17/G17*100</f>
        <v>112.95575286479811</v>
      </c>
      <c r="P17" s="71">
        <f t="shared" si="2"/>
        <v>100</v>
      </c>
    </row>
    <row r="18" spans="1:16" x14ac:dyDescent="0.25">
      <c r="A18" s="12">
        <v>3213</v>
      </c>
      <c r="B18" s="4" t="s">
        <v>73</v>
      </c>
      <c r="C18" s="4"/>
      <c r="D18" s="4"/>
      <c r="E18" s="4"/>
      <c r="F18" s="13"/>
      <c r="G18" s="96">
        <v>4210</v>
      </c>
      <c r="H18" s="97"/>
      <c r="I18" s="96">
        <v>10000</v>
      </c>
      <c r="J18" s="97"/>
      <c r="K18" s="96">
        <v>8580</v>
      </c>
      <c r="L18" s="97"/>
      <c r="M18" s="96">
        <v>8580</v>
      </c>
      <c r="N18" s="97"/>
      <c r="O18" s="71">
        <f t="shared" si="1"/>
        <v>203.80047505938245</v>
      </c>
      <c r="P18" s="71">
        <f>M18/K18*100</f>
        <v>100</v>
      </c>
    </row>
    <row r="19" spans="1:16" x14ac:dyDescent="0.25">
      <c r="A19" s="12">
        <v>3214</v>
      </c>
      <c r="B19" s="4" t="s">
        <v>108</v>
      </c>
      <c r="C19" s="4"/>
      <c r="D19" s="4"/>
      <c r="E19" s="4"/>
      <c r="F19" s="13"/>
      <c r="G19" s="96">
        <v>9028.2000000000007</v>
      </c>
      <c r="H19" s="97"/>
      <c r="I19" s="96">
        <v>10000</v>
      </c>
      <c r="J19" s="97"/>
      <c r="K19" s="96">
        <v>6164</v>
      </c>
      <c r="L19" s="97"/>
      <c r="M19" s="96">
        <v>6164</v>
      </c>
      <c r="N19" s="97"/>
      <c r="O19" s="71">
        <f t="shared" si="1"/>
        <v>68.274960678762099</v>
      </c>
      <c r="P19" s="71">
        <f t="shared" si="2"/>
        <v>100</v>
      </c>
    </row>
    <row r="20" spans="1:16" x14ac:dyDescent="0.25">
      <c r="A20" s="21">
        <v>322</v>
      </c>
      <c r="B20" s="5" t="s">
        <v>116</v>
      </c>
      <c r="C20" s="5"/>
      <c r="D20" s="5"/>
      <c r="E20" s="5"/>
      <c r="F20" s="22"/>
      <c r="G20" s="287">
        <f>SUM(G21:H26)</f>
        <v>519133.38</v>
      </c>
      <c r="H20" s="288"/>
      <c r="I20" s="287">
        <f>SUM(I21:J26)</f>
        <v>587904</v>
      </c>
      <c r="J20" s="288"/>
      <c r="K20" s="287">
        <f>SUM(K21:L26)</f>
        <v>568715.80999999994</v>
      </c>
      <c r="L20" s="288"/>
      <c r="M20" s="287">
        <f>SUM(M21:N26)</f>
        <v>568666.34999999986</v>
      </c>
      <c r="N20" s="288"/>
      <c r="O20" s="56">
        <f t="shared" si="1"/>
        <v>109.54147275214703</v>
      </c>
      <c r="P20" s="56">
        <f t="shared" si="2"/>
        <v>99.991303213462615</v>
      </c>
    </row>
    <row r="21" spans="1:16" x14ac:dyDescent="0.25">
      <c r="A21" s="12">
        <v>3221</v>
      </c>
      <c r="B21" s="4" t="s">
        <v>75</v>
      </c>
      <c r="C21" s="4"/>
      <c r="D21" s="4"/>
      <c r="E21" s="4"/>
      <c r="F21" s="13"/>
      <c r="G21" s="96">
        <v>102840.19</v>
      </c>
      <c r="H21" s="97"/>
      <c r="I21" s="96">
        <v>110000</v>
      </c>
      <c r="J21" s="97"/>
      <c r="K21" s="96">
        <v>94017.18</v>
      </c>
      <c r="L21" s="97"/>
      <c r="M21" s="96">
        <v>94017.18</v>
      </c>
      <c r="N21" s="97"/>
      <c r="O21" s="71">
        <f t="shared" si="1"/>
        <v>91.42065956898756</v>
      </c>
      <c r="P21" s="71">
        <f t="shared" si="2"/>
        <v>100</v>
      </c>
    </row>
    <row r="22" spans="1:16" x14ac:dyDescent="0.25">
      <c r="A22" s="12">
        <v>3222</v>
      </c>
      <c r="B22" s="4" t="s">
        <v>119</v>
      </c>
      <c r="C22" s="4"/>
      <c r="D22" s="4"/>
      <c r="E22" s="4"/>
      <c r="F22" s="13"/>
      <c r="G22" s="96">
        <v>184766.59</v>
      </c>
      <c r="H22" s="97"/>
      <c r="I22" s="96">
        <v>190000</v>
      </c>
      <c r="J22" s="97"/>
      <c r="K22" s="96">
        <v>144500</v>
      </c>
      <c r="L22" s="97"/>
      <c r="M22" s="96">
        <v>144450.54</v>
      </c>
      <c r="N22" s="97"/>
      <c r="O22" s="71">
        <f t="shared" si="1"/>
        <v>78.180010790911936</v>
      </c>
      <c r="P22" s="71">
        <f t="shared" si="2"/>
        <v>99.965771626297581</v>
      </c>
    </row>
    <row r="23" spans="1:16" x14ac:dyDescent="0.25">
      <c r="A23" s="12">
        <v>3223</v>
      </c>
      <c r="B23" s="4" t="s">
        <v>76</v>
      </c>
      <c r="C23" s="4"/>
      <c r="D23" s="4"/>
      <c r="E23" s="4"/>
      <c r="F23" s="13"/>
      <c r="G23" s="96">
        <v>163125.75</v>
      </c>
      <c r="H23" s="97"/>
      <c r="I23" s="96">
        <v>216904</v>
      </c>
      <c r="J23" s="97"/>
      <c r="K23" s="96">
        <v>282163.87</v>
      </c>
      <c r="L23" s="97"/>
      <c r="M23" s="96">
        <v>282163.87</v>
      </c>
      <c r="N23" s="97"/>
      <c r="O23" s="71">
        <f t="shared" si="1"/>
        <v>172.97322464417789</v>
      </c>
      <c r="P23" s="71">
        <f t="shared" si="2"/>
        <v>100</v>
      </c>
    </row>
    <row r="24" spans="1:16" x14ac:dyDescent="0.25">
      <c r="A24" s="12">
        <v>3224</v>
      </c>
      <c r="B24" s="4" t="s">
        <v>120</v>
      </c>
      <c r="C24" s="4"/>
      <c r="D24" s="4"/>
      <c r="E24" s="4"/>
      <c r="F24" s="13"/>
      <c r="G24" s="96">
        <v>50834.6</v>
      </c>
      <c r="H24" s="97"/>
      <c r="I24" s="96">
        <v>50000</v>
      </c>
      <c r="J24" s="97"/>
      <c r="K24" s="96">
        <v>39102.82</v>
      </c>
      <c r="L24" s="97"/>
      <c r="M24" s="96">
        <v>39102.82</v>
      </c>
      <c r="N24" s="97"/>
      <c r="O24" s="71">
        <f t="shared" si="1"/>
        <v>76.92166359133347</v>
      </c>
      <c r="P24" s="71">
        <f t="shared" si="2"/>
        <v>100</v>
      </c>
    </row>
    <row r="25" spans="1:16" x14ac:dyDescent="0.25">
      <c r="A25" s="12">
        <v>3225</v>
      </c>
      <c r="B25" s="4" t="s">
        <v>78</v>
      </c>
      <c r="C25" s="4"/>
      <c r="D25" s="4"/>
      <c r="E25" s="4"/>
      <c r="F25" s="13"/>
      <c r="G25" s="96">
        <v>14573.85</v>
      </c>
      <c r="H25" s="97"/>
      <c r="I25" s="96">
        <v>16000</v>
      </c>
      <c r="J25" s="97"/>
      <c r="K25" s="96">
        <v>4973.1000000000004</v>
      </c>
      <c r="L25" s="97"/>
      <c r="M25" s="96">
        <v>4973.1000000000004</v>
      </c>
      <c r="N25" s="97"/>
      <c r="O25" s="71">
        <f t="shared" si="1"/>
        <v>34.12344713304995</v>
      </c>
      <c r="P25" s="71">
        <f t="shared" si="2"/>
        <v>100</v>
      </c>
    </row>
    <row r="26" spans="1:16" x14ac:dyDescent="0.25">
      <c r="A26" s="12">
        <v>3227</v>
      </c>
      <c r="B26" s="4" t="s">
        <v>79</v>
      </c>
      <c r="C26" s="4"/>
      <c r="D26" s="4"/>
      <c r="E26" s="4"/>
      <c r="F26" s="13"/>
      <c r="G26" s="96">
        <v>2992.4</v>
      </c>
      <c r="H26" s="97"/>
      <c r="I26" s="96">
        <v>5000</v>
      </c>
      <c r="J26" s="97"/>
      <c r="K26" s="96">
        <v>3958.84</v>
      </c>
      <c r="L26" s="97"/>
      <c r="M26" s="96">
        <v>3958.84</v>
      </c>
      <c r="N26" s="97"/>
      <c r="O26" s="71">
        <f t="shared" si="1"/>
        <v>132.29648442721563</v>
      </c>
      <c r="P26" s="71">
        <f t="shared" si="2"/>
        <v>100</v>
      </c>
    </row>
    <row r="27" spans="1:16" x14ac:dyDescent="0.25">
      <c r="A27" s="21">
        <v>323</v>
      </c>
      <c r="B27" s="5" t="s">
        <v>121</v>
      </c>
      <c r="C27" s="5"/>
      <c r="D27" s="5"/>
      <c r="E27" s="5"/>
      <c r="F27" s="22"/>
      <c r="G27" s="287">
        <f>SUM(G28:H36)</f>
        <v>218590.56</v>
      </c>
      <c r="H27" s="288"/>
      <c r="I27" s="287">
        <f>SUM(I28:J36)</f>
        <v>224384.31</v>
      </c>
      <c r="J27" s="288"/>
      <c r="K27" s="287">
        <f>SUM(K28:L36)</f>
        <v>205632.80000000002</v>
      </c>
      <c r="L27" s="288"/>
      <c r="M27" s="287">
        <f>SUM(M28:N36)</f>
        <v>205632.80000000002</v>
      </c>
      <c r="N27" s="288"/>
      <c r="O27" s="56">
        <f t="shared" si="1"/>
        <v>94.072131934700209</v>
      </c>
      <c r="P27" s="56">
        <f t="shared" si="2"/>
        <v>100</v>
      </c>
    </row>
    <row r="28" spans="1:16" x14ac:dyDescent="0.25">
      <c r="A28" s="12">
        <v>3231</v>
      </c>
      <c r="B28" s="4" t="s">
        <v>81</v>
      </c>
      <c r="C28" s="4"/>
      <c r="D28" s="4"/>
      <c r="E28" s="4"/>
      <c r="F28" s="13"/>
      <c r="G28" s="96">
        <v>27263.93</v>
      </c>
      <c r="H28" s="97"/>
      <c r="I28" s="96">
        <v>30000</v>
      </c>
      <c r="J28" s="97"/>
      <c r="K28" s="96">
        <v>25143.599999999999</v>
      </c>
      <c r="L28" s="97"/>
      <c r="M28" s="96">
        <v>25143.599999999999</v>
      </c>
      <c r="N28" s="97"/>
      <c r="O28" s="71">
        <f t="shared" si="1"/>
        <v>92.222948048942314</v>
      </c>
      <c r="P28" s="71">
        <f t="shared" si="2"/>
        <v>100</v>
      </c>
    </row>
    <row r="29" spans="1:16" x14ac:dyDescent="0.25">
      <c r="A29" s="12">
        <v>3232</v>
      </c>
      <c r="B29" s="4" t="s">
        <v>82</v>
      </c>
      <c r="C29" s="4"/>
      <c r="D29" s="4"/>
      <c r="E29" s="4"/>
      <c r="F29" s="13"/>
      <c r="G29" s="96">
        <v>38285.07</v>
      </c>
      <c r="H29" s="97"/>
      <c r="I29" s="96">
        <v>38000</v>
      </c>
      <c r="J29" s="97"/>
      <c r="K29" s="96">
        <v>42126.62</v>
      </c>
      <c r="L29" s="97"/>
      <c r="M29" s="96">
        <v>42126.62</v>
      </c>
      <c r="N29" s="97"/>
      <c r="O29" s="71">
        <f t="shared" si="1"/>
        <v>110.03406811062382</v>
      </c>
      <c r="P29" s="71">
        <f t="shared" si="2"/>
        <v>100</v>
      </c>
    </row>
    <row r="30" spans="1:16" x14ac:dyDescent="0.25">
      <c r="A30" s="12">
        <v>3233</v>
      </c>
      <c r="B30" s="4" t="s">
        <v>111</v>
      </c>
      <c r="C30" s="4"/>
      <c r="D30" s="4"/>
      <c r="E30" s="4"/>
      <c r="F30" s="13"/>
      <c r="G30" s="96">
        <v>720</v>
      </c>
      <c r="H30" s="97"/>
      <c r="I30" s="96">
        <v>1000</v>
      </c>
      <c r="J30" s="97"/>
      <c r="K30" s="96">
        <v>960</v>
      </c>
      <c r="L30" s="97"/>
      <c r="M30" s="96">
        <v>960</v>
      </c>
      <c r="N30" s="97"/>
      <c r="O30" s="71">
        <f t="shared" si="1"/>
        <v>133.33333333333331</v>
      </c>
      <c r="P30" s="71">
        <f t="shared" si="2"/>
        <v>100</v>
      </c>
    </row>
    <row r="31" spans="1:16" x14ac:dyDescent="0.25">
      <c r="A31" s="12">
        <v>3234</v>
      </c>
      <c r="B31" s="4" t="s">
        <v>110</v>
      </c>
      <c r="C31" s="4"/>
      <c r="D31" s="4"/>
      <c r="E31" s="4"/>
      <c r="F31" s="13"/>
      <c r="G31" s="96">
        <v>47304.18</v>
      </c>
      <c r="H31" s="97"/>
      <c r="I31" s="96">
        <v>55000</v>
      </c>
      <c r="J31" s="97"/>
      <c r="K31" s="96">
        <v>45572.480000000003</v>
      </c>
      <c r="L31" s="97"/>
      <c r="M31" s="96">
        <v>45572.480000000003</v>
      </c>
      <c r="N31" s="97"/>
      <c r="O31" s="71">
        <f t="shared" si="1"/>
        <v>96.339224144673906</v>
      </c>
      <c r="P31" s="71">
        <f t="shared" si="2"/>
        <v>100</v>
      </c>
    </row>
    <row r="32" spans="1:16" x14ac:dyDescent="0.25">
      <c r="A32" s="12">
        <v>3235</v>
      </c>
      <c r="B32" s="4" t="s">
        <v>83</v>
      </c>
      <c r="C32" s="4"/>
      <c r="D32" s="4"/>
      <c r="E32" s="4"/>
      <c r="F32" s="13"/>
      <c r="G32" s="96">
        <v>9130.01</v>
      </c>
      <c r="H32" s="97"/>
      <c r="I32" s="96">
        <v>10000</v>
      </c>
      <c r="J32" s="97"/>
      <c r="K32" s="96">
        <v>10262.280000000001</v>
      </c>
      <c r="L32" s="97"/>
      <c r="M32" s="96">
        <v>10262.280000000001</v>
      </c>
      <c r="N32" s="97"/>
      <c r="O32" s="71">
        <f t="shared" si="1"/>
        <v>112.40162935199413</v>
      </c>
      <c r="P32" s="71">
        <f t="shared" si="2"/>
        <v>100</v>
      </c>
    </row>
    <row r="33" spans="1:16" x14ac:dyDescent="0.25">
      <c r="A33" s="12">
        <v>3236</v>
      </c>
      <c r="B33" s="4" t="s">
        <v>84</v>
      </c>
      <c r="C33" s="4"/>
      <c r="D33" s="4"/>
      <c r="E33" s="4"/>
      <c r="F33" s="13"/>
      <c r="G33" s="96">
        <v>13347</v>
      </c>
      <c r="H33" s="97"/>
      <c r="I33" s="96">
        <v>15000</v>
      </c>
      <c r="J33" s="97"/>
      <c r="K33" s="96">
        <v>15827</v>
      </c>
      <c r="L33" s="97"/>
      <c r="M33" s="96">
        <v>15827</v>
      </c>
      <c r="N33" s="97"/>
      <c r="O33" s="71">
        <f t="shared" si="1"/>
        <v>118.58095452161534</v>
      </c>
      <c r="P33" s="71">
        <f t="shared" si="2"/>
        <v>100</v>
      </c>
    </row>
    <row r="34" spans="1:16" x14ac:dyDescent="0.25">
      <c r="A34" s="12">
        <v>3237</v>
      </c>
      <c r="B34" s="4" t="s">
        <v>85</v>
      </c>
      <c r="C34" s="4"/>
      <c r="D34" s="4"/>
      <c r="E34" s="4"/>
      <c r="F34" s="13"/>
      <c r="G34" s="96">
        <v>21139</v>
      </c>
      <c r="H34" s="97"/>
      <c r="I34" s="96">
        <v>20000</v>
      </c>
      <c r="J34" s="97"/>
      <c r="K34" s="96">
        <v>21899</v>
      </c>
      <c r="L34" s="97"/>
      <c r="M34" s="96">
        <v>21899</v>
      </c>
      <c r="N34" s="97"/>
      <c r="O34" s="71">
        <f t="shared" si="1"/>
        <v>103.59525048488575</v>
      </c>
      <c r="P34" s="71">
        <f t="shared" si="2"/>
        <v>100</v>
      </c>
    </row>
    <row r="35" spans="1:16" x14ac:dyDescent="0.25">
      <c r="A35" s="12">
        <v>3238</v>
      </c>
      <c r="B35" s="4" t="s">
        <v>86</v>
      </c>
      <c r="C35" s="4"/>
      <c r="D35" s="4"/>
      <c r="E35" s="4"/>
      <c r="F35" s="13"/>
      <c r="G35" s="96">
        <v>34120.160000000003</v>
      </c>
      <c r="H35" s="97"/>
      <c r="I35" s="96">
        <v>30000</v>
      </c>
      <c r="J35" s="97"/>
      <c r="K35" s="96">
        <v>28153.38</v>
      </c>
      <c r="L35" s="97"/>
      <c r="M35" s="96">
        <v>28153.38</v>
      </c>
      <c r="N35" s="97"/>
      <c r="O35" s="71">
        <f t="shared" si="1"/>
        <v>82.51245011746721</v>
      </c>
      <c r="P35" s="71">
        <f t="shared" si="2"/>
        <v>100</v>
      </c>
    </row>
    <row r="36" spans="1:16" x14ac:dyDescent="0.25">
      <c r="A36" s="12">
        <v>3239</v>
      </c>
      <c r="B36" s="4" t="s">
        <v>87</v>
      </c>
      <c r="C36" s="4"/>
      <c r="D36" s="4"/>
      <c r="E36" s="4"/>
      <c r="F36" s="13"/>
      <c r="G36" s="96">
        <v>27281.21</v>
      </c>
      <c r="H36" s="97"/>
      <c r="I36" s="96">
        <v>25384.31</v>
      </c>
      <c r="J36" s="97"/>
      <c r="K36" s="96">
        <v>15688.44</v>
      </c>
      <c r="L36" s="97"/>
      <c r="M36" s="96">
        <v>15688.44</v>
      </c>
      <c r="N36" s="97"/>
      <c r="O36" s="71">
        <f t="shared" si="1"/>
        <v>57.506393594712257</v>
      </c>
      <c r="P36" s="71">
        <f t="shared" si="2"/>
        <v>100</v>
      </c>
    </row>
    <row r="37" spans="1:16" x14ac:dyDescent="0.25">
      <c r="A37" s="21">
        <v>329</v>
      </c>
      <c r="B37" s="5" t="s">
        <v>128</v>
      </c>
      <c r="C37" s="5"/>
      <c r="D37" s="5"/>
      <c r="E37" s="5"/>
      <c r="F37" s="22"/>
      <c r="G37" s="287">
        <f>SUM(G38:H41)</f>
        <v>53955.659999999996</v>
      </c>
      <c r="H37" s="288"/>
      <c r="I37" s="287">
        <f>SUM(I38:J41)</f>
        <v>61000</v>
      </c>
      <c r="J37" s="288"/>
      <c r="K37" s="287">
        <f>SUM(K38:L41)</f>
        <v>26457.829999999998</v>
      </c>
      <c r="L37" s="288"/>
      <c r="M37" s="287">
        <f>SUM(M38:N41)</f>
        <v>26457.829999999998</v>
      </c>
      <c r="N37" s="288"/>
      <c r="O37" s="56">
        <f t="shared" si="1"/>
        <v>49.036245687662792</v>
      </c>
      <c r="P37" s="56">
        <f t="shared" si="2"/>
        <v>100</v>
      </c>
    </row>
    <row r="38" spans="1:16" x14ac:dyDescent="0.25">
      <c r="A38" s="12">
        <v>3292</v>
      </c>
      <c r="B38" s="4" t="s">
        <v>90</v>
      </c>
      <c r="C38" s="4"/>
      <c r="D38" s="4"/>
      <c r="E38" s="4"/>
      <c r="F38" s="13"/>
      <c r="G38" s="96">
        <v>3487.6</v>
      </c>
      <c r="H38" s="97"/>
      <c r="I38" s="96">
        <v>5000</v>
      </c>
      <c r="J38" s="97"/>
      <c r="K38" s="96">
        <v>3072.62</v>
      </c>
      <c r="L38" s="97"/>
      <c r="M38" s="96">
        <v>3072.62</v>
      </c>
      <c r="N38" s="97"/>
      <c r="O38" s="71">
        <f t="shared" si="1"/>
        <v>88.101273081775432</v>
      </c>
      <c r="P38" s="71">
        <f t="shared" si="2"/>
        <v>100</v>
      </c>
    </row>
    <row r="39" spans="1:16" x14ac:dyDescent="0.25">
      <c r="A39" s="12">
        <v>3293</v>
      </c>
      <c r="B39" s="4" t="s">
        <v>91</v>
      </c>
      <c r="C39" s="4"/>
      <c r="D39" s="4"/>
      <c r="E39" s="4"/>
      <c r="F39" s="13"/>
      <c r="G39" s="96">
        <v>3780</v>
      </c>
      <c r="H39" s="97"/>
      <c r="I39" s="96">
        <v>5000</v>
      </c>
      <c r="J39" s="97"/>
      <c r="K39" s="96">
        <v>1670</v>
      </c>
      <c r="L39" s="97"/>
      <c r="M39" s="96">
        <v>1670</v>
      </c>
      <c r="N39" s="97"/>
      <c r="O39" s="71">
        <f t="shared" si="1"/>
        <v>44.179894179894177</v>
      </c>
      <c r="P39" s="71">
        <f t="shared" si="2"/>
        <v>100</v>
      </c>
    </row>
    <row r="40" spans="1:16" x14ac:dyDescent="0.25">
      <c r="A40" s="12">
        <v>3294</v>
      </c>
      <c r="B40" s="4" t="s">
        <v>92</v>
      </c>
      <c r="C40" s="4"/>
      <c r="D40" s="4"/>
      <c r="E40" s="4"/>
      <c r="F40" s="13"/>
      <c r="G40" s="96">
        <v>850</v>
      </c>
      <c r="H40" s="97"/>
      <c r="I40" s="96">
        <v>1000</v>
      </c>
      <c r="J40" s="97"/>
      <c r="K40" s="96">
        <v>250</v>
      </c>
      <c r="L40" s="97"/>
      <c r="M40" s="96">
        <v>250</v>
      </c>
      <c r="N40" s="97"/>
      <c r="O40" s="71">
        <f t="shared" si="1"/>
        <v>29.411764705882355</v>
      </c>
      <c r="P40" s="71">
        <f t="shared" si="2"/>
        <v>100</v>
      </c>
    </row>
    <row r="41" spans="1:16" x14ac:dyDescent="0.25">
      <c r="A41" s="12">
        <v>3299</v>
      </c>
      <c r="B41" s="4" t="s">
        <v>88</v>
      </c>
      <c r="C41" s="4"/>
      <c r="D41" s="4"/>
      <c r="E41" s="4"/>
      <c r="F41" s="13"/>
      <c r="G41" s="96">
        <v>45838.06</v>
      </c>
      <c r="H41" s="97"/>
      <c r="I41" s="96">
        <v>50000</v>
      </c>
      <c r="J41" s="97"/>
      <c r="K41" s="96">
        <v>21465.21</v>
      </c>
      <c r="L41" s="97"/>
      <c r="M41" s="96">
        <v>21465.21</v>
      </c>
      <c r="N41" s="97"/>
      <c r="O41" s="71">
        <f t="shared" si="1"/>
        <v>46.828356173886945</v>
      </c>
      <c r="P41" s="71">
        <f t="shared" si="2"/>
        <v>100</v>
      </c>
    </row>
    <row r="42" spans="1:16" x14ac:dyDescent="0.25">
      <c r="A42" s="263" t="s">
        <v>130</v>
      </c>
      <c r="B42" s="264"/>
      <c r="C42" s="264"/>
      <c r="D42" s="264"/>
      <c r="E42" s="264"/>
      <c r="F42" s="265"/>
      <c r="G42" s="270">
        <f>G44</f>
        <v>0</v>
      </c>
      <c r="H42" s="271"/>
      <c r="I42" s="270">
        <f t="shared" ref="I42:K42" si="3">I44</f>
        <v>0</v>
      </c>
      <c r="J42" s="271"/>
      <c r="K42" s="270">
        <f t="shared" si="3"/>
        <v>157368.53</v>
      </c>
      <c r="L42" s="271"/>
      <c r="M42" s="270">
        <f t="shared" ref="M42" si="4">M44</f>
        <v>157368.53</v>
      </c>
      <c r="N42" s="271"/>
      <c r="O42" s="303" t="e">
        <f>M42/G42*100</f>
        <v>#DIV/0!</v>
      </c>
      <c r="P42" s="303">
        <f t="shared" ref="P42:P43" si="5">M42/K42*100</f>
        <v>100</v>
      </c>
    </row>
    <row r="43" spans="1:16" x14ac:dyDescent="0.25">
      <c r="A43" s="237" t="s">
        <v>129</v>
      </c>
      <c r="B43" s="238"/>
      <c r="C43" s="238"/>
      <c r="D43" s="238"/>
      <c r="E43" s="238"/>
      <c r="F43" s="239"/>
      <c r="G43" s="240"/>
      <c r="H43" s="241"/>
      <c r="I43" s="240"/>
      <c r="J43" s="241"/>
      <c r="K43" s="240"/>
      <c r="L43" s="241"/>
      <c r="M43" s="240"/>
      <c r="N43" s="241"/>
      <c r="O43" s="304"/>
      <c r="P43" s="304" t="e">
        <f t="shared" si="5"/>
        <v>#DIV/0!</v>
      </c>
    </row>
    <row r="44" spans="1:16" x14ac:dyDescent="0.25">
      <c r="A44" s="11">
        <v>4221</v>
      </c>
      <c r="B44" s="46" t="s">
        <v>114</v>
      </c>
      <c r="C44" s="46"/>
      <c r="D44" s="46"/>
      <c r="E44" s="46"/>
      <c r="F44" s="47"/>
      <c r="G44" s="246"/>
      <c r="H44" s="247"/>
      <c r="I44" s="246"/>
      <c r="J44" s="247"/>
      <c r="K44" s="246">
        <v>157368.53</v>
      </c>
      <c r="L44" s="247"/>
      <c r="M44" s="246">
        <v>157368.53</v>
      </c>
      <c r="N44" s="247"/>
      <c r="O44" s="63" t="e">
        <f>M44/G44*100</f>
        <v>#DIV/0!</v>
      </c>
      <c r="P44" s="63">
        <f>M44/K44*100</f>
        <v>100</v>
      </c>
    </row>
    <row r="45" spans="1:16" x14ac:dyDescent="0.25">
      <c r="A45" s="263" t="s">
        <v>131</v>
      </c>
      <c r="B45" s="264"/>
      <c r="C45" s="264"/>
      <c r="D45" s="264"/>
      <c r="E45" s="264"/>
      <c r="F45" s="265"/>
      <c r="G45" s="270">
        <f>G47</f>
        <v>6100.08</v>
      </c>
      <c r="H45" s="271"/>
      <c r="I45" s="270">
        <f t="shared" ref="I45:K45" si="6">I47</f>
        <v>0</v>
      </c>
      <c r="J45" s="271"/>
      <c r="K45" s="270">
        <f t="shared" si="6"/>
        <v>4378</v>
      </c>
      <c r="L45" s="271"/>
      <c r="M45" s="270">
        <f t="shared" ref="M45" si="7">M47</f>
        <v>4378</v>
      </c>
      <c r="N45" s="271"/>
      <c r="O45" s="303">
        <f>M45/G45*100</f>
        <v>71.769550563271295</v>
      </c>
      <c r="P45" s="303">
        <f t="shared" ref="P45:P46" si="8">M45/K45*100</f>
        <v>100</v>
      </c>
    </row>
    <row r="46" spans="1:16" x14ac:dyDescent="0.25">
      <c r="A46" s="237" t="s">
        <v>30</v>
      </c>
      <c r="B46" s="238"/>
      <c r="C46" s="238"/>
      <c r="D46" s="238"/>
      <c r="E46" s="238"/>
      <c r="F46" s="239"/>
      <c r="G46" s="240"/>
      <c r="H46" s="241"/>
      <c r="I46" s="240"/>
      <c r="J46" s="241"/>
      <c r="K46" s="240"/>
      <c r="L46" s="241"/>
      <c r="M46" s="240"/>
      <c r="N46" s="241"/>
      <c r="O46" s="304"/>
      <c r="P46" s="304" t="e">
        <f t="shared" si="8"/>
        <v>#DIV/0!</v>
      </c>
    </row>
    <row r="47" spans="1:16" x14ac:dyDescent="0.25">
      <c r="A47" s="11">
        <v>4221</v>
      </c>
      <c r="B47" s="46" t="s">
        <v>114</v>
      </c>
      <c r="C47" s="46"/>
      <c r="D47" s="46"/>
      <c r="E47" s="46"/>
      <c r="F47" s="47"/>
      <c r="G47" s="246">
        <v>6100.08</v>
      </c>
      <c r="H47" s="247"/>
      <c r="I47" s="246"/>
      <c r="J47" s="247"/>
      <c r="K47" s="246">
        <v>4378</v>
      </c>
      <c r="L47" s="247"/>
      <c r="M47" s="246">
        <v>4378</v>
      </c>
      <c r="N47" s="247"/>
      <c r="O47" s="63">
        <f>M47/G47*100</f>
        <v>71.769550563271295</v>
      </c>
      <c r="P47" s="63">
        <f>M47/K47*100</f>
        <v>100</v>
      </c>
    </row>
    <row r="48" spans="1:16" x14ac:dyDescent="0.25">
      <c r="A48" s="263" t="s">
        <v>132</v>
      </c>
      <c r="B48" s="264"/>
      <c r="C48" s="264"/>
      <c r="D48" s="264"/>
      <c r="E48" s="264"/>
      <c r="F48" s="265"/>
      <c r="G48" s="270">
        <f>SUM(G50:H53)</f>
        <v>9808418.5399999991</v>
      </c>
      <c r="H48" s="271"/>
      <c r="I48" s="270">
        <f>SUM(I50:J53)</f>
        <v>9321000</v>
      </c>
      <c r="J48" s="271"/>
      <c r="K48" s="270">
        <f t="shared" ref="K48" si="9">SUM(K50:L53)</f>
        <v>9321000</v>
      </c>
      <c r="L48" s="271"/>
      <c r="M48" s="270">
        <f t="shared" ref="M48" si="10">SUM(M50:N53)</f>
        <v>10471935.599999998</v>
      </c>
      <c r="N48" s="271"/>
      <c r="O48" s="303">
        <f>M48/G48*100</f>
        <v>106.7647710718511</v>
      </c>
      <c r="P48" s="303">
        <f t="shared" ref="P48:P49" si="11">M48/K48*100</f>
        <v>112.34776955262309</v>
      </c>
    </row>
    <row r="49" spans="1:16" x14ac:dyDescent="0.25">
      <c r="A49" s="237" t="s">
        <v>133</v>
      </c>
      <c r="B49" s="238"/>
      <c r="C49" s="238"/>
      <c r="D49" s="238"/>
      <c r="E49" s="238"/>
      <c r="F49" s="239"/>
      <c r="G49" s="240"/>
      <c r="H49" s="241"/>
      <c r="I49" s="240"/>
      <c r="J49" s="241"/>
      <c r="K49" s="240"/>
      <c r="L49" s="241"/>
      <c r="M49" s="240"/>
      <c r="N49" s="241"/>
      <c r="O49" s="304"/>
      <c r="P49" s="304" t="e">
        <f t="shared" si="11"/>
        <v>#DIV/0!</v>
      </c>
    </row>
    <row r="50" spans="1:16" x14ac:dyDescent="0.25">
      <c r="A50" s="11">
        <v>3111</v>
      </c>
      <c r="B50" s="46" t="s">
        <v>65</v>
      </c>
      <c r="C50" s="46"/>
      <c r="D50" s="46"/>
      <c r="E50" s="46"/>
      <c r="F50" s="47"/>
      <c r="G50" s="246">
        <v>8101300.2999999998</v>
      </c>
      <c r="H50" s="247"/>
      <c r="I50" s="246">
        <v>7500000</v>
      </c>
      <c r="J50" s="247"/>
      <c r="K50" s="246">
        <v>7500000</v>
      </c>
      <c r="L50" s="247"/>
      <c r="M50" s="246">
        <v>8694045.1099999994</v>
      </c>
      <c r="N50" s="247"/>
      <c r="O50" s="63">
        <f>M50/G50*100</f>
        <v>107.31666261032196</v>
      </c>
      <c r="P50" s="63">
        <f>M50/K50*100</f>
        <v>115.92060146666665</v>
      </c>
    </row>
    <row r="51" spans="1:16" x14ac:dyDescent="0.25">
      <c r="A51" s="12">
        <v>3212</v>
      </c>
      <c r="B51" s="4" t="s">
        <v>66</v>
      </c>
      <c r="C51" s="4"/>
      <c r="D51" s="4"/>
      <c r="E51" s="4"/>
      <c r="F51" s="22"/>
      <c r="G51" s="96">
        <v>351713.03</v>
      </c>
      <c r="H51" s="97"/>
      <c r="I51" s="96">
        <v>350000</v>
      </c>
      <c r="J51" s="97"/>
      <c r="K51" s="96">
        <v>350000</v>
      </c>
      <c r="L51" s="97"/>
      <c r="M51" s="96">
        <v>331272.78000000003</v>
      </c>
      <c r="N51" s="97"/>
      <c r="O51" s="57">
        <f t="shared" ref="O51:O53" si="12">M51/G51*100</f>
        <v>94.188372833386353</v>
      </c>
      <c r="P51" s="57">
        <f t="shared" ref="P51:P53" si="13">M51/K51*100</f>
        <v>94.649365714285722</v>
      </c>
    </row>
    <row r="52" spans="1:16" x14ac:dyDescent="0.25">
      <c r="A52" s="12">
        <v>3132</v>
      </c>
      <c r="B52" s="4" t="s">
        <v>125</v>
      </c>
      <c r="C52" s="4"/>
      <c r="D52" s="4"/>
      <c r="E52" s="4"/>
      <c r="F52" s="22"/>
      <c r="G52" s="96">
        <v>1336705.21</v>
      </c>
      <c r="H52" s="97"/>
      <c r="I52" s="96">
        <v>1450000</v>
      </c>
      <c r="J52" s="97"/>
      <c r="K52" s="96">
        <v>1450000</v>
      </c>
      <c r="L52" s="97"/>
      <c r="M52" s="96">
        <v>1434517.27</v>
      </c>
      <c r="N52" s="97"/>
      <c r="O52" s="57">
        <f t="shared" si="12"/>
        <v>107.31739947359074</v>
      </c>
      <c r="P52" s="57">
        <f t="shared" si="13"/>
        <v>98.932225517241378</v>
      </c>
    </row>
    <row r="53" spans="1:16" x14ac:dyDescent="0.25">
      <c r="A53" s="12">
        <v>3295</v>
      </c>
      <c r="B53" s="4" t="s">
        <v>134</v>
      </c>
      <c r="C53" s="4"/>
      <c r="D53" s="4"/>
      <c r="E53" s="4"/>
      <c r="F53" s="22"/>
      <c r="G53" s="96">
        <v>18700</v>
      </c>
      <c r="H53" s="97"/>
      <c r="I53" s="96">
        <v>21000</v>
      </c>
      <c r="J53" s="97"/>
      <c r="K53" s="96">
        <v>21000</v>
      </c>
      <c r="L53" s="97"/>
      <c r="M53" s="96">
        <v>12100.44</v>
      </c>
      <c r="N53" s="97"/>
      <c r="O53" s="57">
        <f t="shared" si="12"/>
        <v>64.708235294117657</v>
      </c>
      <c r="P53" s="57">
        <f t="shared" si="13"/>
        <v>57.621142857142857</v>
      </c>
    </row>
    <row r="54" spans="1:16" x14ac:dyDescent="0.25">
      <c r="A54" s="278" t="s">
        <v>136</v>
      </c>
      <c r="B54" s="279"/>
      <c r="C54" s="279"/>
      <c r="D54" s="279"/>
      <c r="E54" s="279"/>
      <c r="F54" s="280"/>
      <c r="G54" s="259">
        <f>G55+G58+G94+G97+G100</f>
        <v>212379.93</v>
      </c>
      <c r="H54" s="260"/>
      <c r="I54" s="259">
        <f t="shared" ref="I54" si="14">I55+I58+I94+I97+I100</f>
        <v>69500</v>
      </c>
      <c r="J54" s="260"/>
      <c r="K54" s="259">
        <f t="shared" ref="K54" si="15">K55+K58+K94+K97+K100</f>
        <v>83546</v>
      </c>
      <c r="L54" s="260"/>
      <c r="M54" s="259">
        <f t="shared" ref="M54" si="16">M55+M58+M94+M97+M100</f>
        <v>651932.62</v>
      </c>
      <c r="N54" s="260"/>
      <c r="O54" s="64">
        <f t="shared" ref="O54" si="17">M54/G54*100</f>
        <v>306.96526738661231</v>
      </c>
      <c r="P54" s="64">
        <f t="shared" ref="P54" si="18">M54/K54*100</f>
        <v>780.32774758815503</v>
      </c>
    </row>
    <row r="55" spans="1:16" x14ac:dyDescent="0.25">
      <c r="A55" s="237" t="s">
        <v>137</v>
      </c>
      <c r="B55" s="238"/>
      <c r="C55" s="238"/>
      <c r="D55" s="238"/>
      <c r="E55" s="238"/>
      <c r="F55" s="239"/>
      <c r="G55" s="261">
        <f>G57</f>
        <v>10519.3</v>
      </c>
      <c r="H55" s="262"/>
      <c r="I55" s="261">
        <f>I57</f>
        <v>0</v>
      </c>
      <c r="J55" s="262"/>
      <c r="K55" s="261">
        <f>K57</f>
        <v>17500</v>
      </c>
      <c r="L55" s="262"/>
      <c r="M55" s="261">
        <f t="shared" ref="M55" si="19">M57</f>
        <v>17500</v>
      </c>
      <c r="N55" s="262"/>
      <c r="O55" s="304">
        <f>M55/G55*100</f>
        <v>166.36087952620423</v>
      </c>
      <c r="P55" s="304">
        <f t="shared" ref="P55:P56" si="20">M55/K55*100</f>
        <v>100</v>
      </c>
    </row>
    <row r="56" spans="1:16" x14ac:dyDescent="0.25">
      <c r="A56" s="237" t="s">
        <v>138</v>
      </c>
      <c r="B56" s="238"/>
      <c r="C56" s="238"/>
      <c r="D56" s="238"/>
      <c r="E56" s="238"/>
      <c r="F56" s="239"/>
      <c r="G56" s="240"/>
      <c r="H56" s="241"/>
      <c r="I56" s="240"/>
      <c r="J56" s="241"/>
      <c r="K56" s="240"/>
      <c r="L56" s="241"/>
      <c r="M56" s="240"/>
      <c r="N56" s="241"/>
      <c r="O56" s="304"/>
      <c r="P56" s="304" t="e">
        <f t="shared" si="20"/>
        <v>#DIV/0!</v>
      </c>
    </row>
    <row r="57" spans="1:16" x14ac:dyDescent="0.25">
      <c r="A57" s="11">
        <v>3299</v>
      </c>
      <c r="B57" s="46" t="s">
        <v>88</v>
      </c>
      <c r="C57" s="46"/>
      <c r="D57" s="46"/>
      <c r="E57" s="46"/>
      <c r="F57" s="47"/>
      <c r="G57" s="246">
        <v>10519.3</v>
      </c>
      <c r="H57" s="247"/>
      <c r="I57" s="246"/>
      <c r="J57" s="247"/>
      <c r="K57" s="246">
        <v>17500</v>
      </c>
      <c r="L57" s="247"/>
      <c r="M57" s="246">
        <v>17500</v>
      </c>
      <c r="N57" s="247"/>
      <c r="O57" s="63">
        <f>M57/G57*100</f>
        <v>166.36087952620423</v>
      </c>
      <c r="P57" s="63">
        <f>M57/K57*100</f>
        <v>100</v>
      </c>
    </row>
    <row r="58" spans="1:16" x14ac:dyDescent="0.25">
      <c r="A58" s="263" t="s">
        <v>139</v>
      </c>
      <c r="B58" s="264"/>
      <c r="C58" s="264"/>
      <c r="D58" s="264"/>
      <c r="E58" s="264"/>
      <c r="F58" s="265"/>
      <c r="G58" s="240">
        <f>G60+G64+G67+G77+G79+G81+G84</f>
        <v>189950.63</v>
      </c>
      <c r="H58" s="241"/>
      <c r="I58" s="240">
        <f t="shared" ref="I58" si="21">I60+I64+I67+I77+I79+I81+I84</f>
        <v>69500</v>
      </c>
      <c r="J58" s="241"/>
      <c r="K58" s="240">
        <f t="shared" ref="K58" si="22">K60+K64+K67+K77+K79+K81+K84</f>
        <v>50046</v>
      </c>
      <c r="L58" s="241"/>
      <c r="M58" s="240">
        <f t="shared" ref="M58" si="23">M60+M64+M67+M77+M79+M81+M84</f>
        <v>620073.34000000008</v>
      </c>
      <c r="N58" s="241"/>
      <c r="O58" s="303">
        <f>M58/G58*100</f>
        <v>326.43921212580346</v>
      </c>
      <c r="P58" s="303">
        <f>M58/K58*100</f>
        <v>1239.0067937497504</v>
      </c>
    </row>
    <row r="59" spans="1:16" x14ac:dyDescent="0.25">
      <c r="A59" s="314"/>
      <c r="B59" s="315"/>
      <c r="C59" s="315"/>
      <c r="D59" s="315"/>
      <c r="E59" s="315"/>
      <c r="F59" s="316"/>
      <c r="G59" s="261"/>
      <c r="H59" s="262"/>
      <c r="I59" s="261"/>
      <c r="J59" s="262"/>
      <c r="K59" s="261"/>
      <c r="L59" s="262"/>
      <c r="M59" s="261"/>
      <c r="N59" s="262"/>
      <c r="O59" s="313"/>
      <c r="P59" s="313"/>
    </row>
    <row r="60" spans="1:16" x14ac:dyDescent="0.25">
      <c r="A60" s="263" t="s">
        <v>147</v>
      </c>
      <c r="B60" s="264"/>
      <c r="C60" s="264"/>
      <c r="D60" s="264"/>
      <c r="E60" s="264"/>
      <c r="F60" s="265"/>
      <c r="G60" s="240">
        <f>G61+G62+G63</f>
        <v>0</v>
      </c>
      <c r="H60" s="241"/>
      <c r="I60" s="240">
        <f t="shared" ref="I60" si="24">I61+I62+I63</f>
        <v>0</v>
      </c>
      <c r="J60" s="241"/>
      <c r="K60" s="240">
        <f t="shared" ref="K60" si="25">K61+K62+K63</f>
        <v>9000</v>
      </c>
      <c r="L60" s="241"/>
      <c r="M60" s="240">
        <f t="shared" ref="M60" si="26">M61+M62+M63</f>
        <v>12462.21</v>
      </c>
      <c r="N60" s="241"/>
      <c r="O60" s="83" t="e">
        <f>M60/G60*100</f>
        <v>#DIV/0!</v>
      </c>
      <c r="P60" s="83">
        <f>M60/K60*100</f>
        <v>138.46899999999999</v>
      </c>
    </row>
    <row r="61" spans="1:16" x14ac:dyDescent="0.25">
      <c r="A61" s="29">
        <v>3222</v>
      </c>
      <c r="B61" s="3" t="s">
        <v>109</v>
      </c>
      <c r="C61" s="3"/>
      <c r="D61" s="3"/>
      <c r="E61" s="3"/>
      <c r="F61" s="30"/>
      <c r="G61" s="246"/>
      <c r="H61" s="247"/>
      <c r="I61" s="246"/>
      <c r="J61" s="247"/>
      <c r="K61" s="246"/>
      <c r="L61" s="247"/>
      <c r="M61" s="246">
        <v>2712.21</v>
      </c>
      <c r="N61" s="247"/>
      <c r="O61" s="63" t="e">
        <f>M61/G61*100</f>
        <v>#DIV/0!</v>
      </c>
      <c r="P61" s="63" t="e">
        <f>M61/K61*100</f>
        <v>#DIV/0!</v>
      </c>
    </row>
    <row r="62" spans="1:16" x14ac:dyDescent="0.25">
      <c r="A62" s="12">
        <v>4221</v>
      </c>
      <c r="B62" s="4" t="s">
        <v>124</v>
      </c>
      <c r="C62" s="4"/>
      <c r="D62" s="4"/>
      <c r="E62" s="4"/>
      <c r="F62" s="22"/>
      <c r="G62" s="96"/>
      <c r="H62" s="97"/>
      <c r="I62" s="96"/>
      <c r="J62" s="97"/>
      <c r="K62" s="96">
        <v>9000</v>
      </c>
      <c r="L62" s="97"/>
      <c r="M62" s="96">
        <v>4784</v>
      </c>
      <c r="N62" s="97"/>
      <c r="O62" s="57" t="e">
        <f t="shared" ref="O62:O93" si="27">M62/G62*100</f>
        <v>#DIV/0!</v>
      </c>
      <c r="P62" s="57">
        <f t="shared" ref="P62:P95" si="28">M62/K62*100</f>
        <v>53.155555555555559</v>
      </c>
    </row>
    <row r="63" spans="1:16" x14ac:dyDescent="0.25">
      <c r="A63" s="12">
        <v>4223</v>
      </c>
      <c r="B63" s="4" t="s">
        <v>102</v>
      </c>
      <c r="C63" s="4"/>
      <c r="D63" s="4"/>
      <c r="E63" s="4"/>
      <c r="F63" s="22"/>
      <c r="G63" s="266"/>
      <c r="H63" s="267"/>
      <c r="I63" s="266"/>
      <c r="J63" s="267"/>
      <c r="K63" s="266"/>
      <c r="L63" s="267"/>
      <c r="M63" s="266">
        <v>4966</v>
      </c>
      <c r="N63" s="267"/>
      <c r="O63" s="57" t="e">
        <f t="shared" si="27"/>
        <v>#DIV/0!</v>
      </c>
      <c r="P63" s="57" t="e">
        <f t="shared" si="28"/>
        <v>#DIV/0!</v>
      </c>
    </row>
    <row r="64" spans="1:16" x14ac:dyDescent="0.25">
      <c r="A64" s="263" t="s">
        <v>144</v>
      </c>
      <c r="B64" s="264"/>
      <c r="C64" s="264"/>
      <c r="D64" s="264"/>
      <c r="E64" s="264"/>
      <c r="F64" s="265"/>
      <c r="G64" s="240">
        <f>G65+G66</f>
        <v>162</v>
      </c>
      <c r="H64" s="241"/>
      <c r="I64" s="240">
        <f t="shared" ref="I64:K64" si="29">I65</f>
        <v>1500</v>
      </c>
      <c r="J64" s="241"/>
      <c r="K64" s="240">
        <f t="shared" si="29"/>
        <v>5000</v>
      </c>
      <c r="L64" s="241"/>
      <c r="M64" s="240">
        <f t="shared" ref="M64" si="30">M65</f>
        <v>933.75</v>
      </c>
      <c r="N64" s="241"/>
      <c r="O64" s="65">
        <f t="shared" si="27"/>
        <v>576.38888888888891</v>
      </c>
      <c r="P64" s="65">
        <f t="shared" si="28"/>
        <v>18.675000000000001</v>
      </c>
    </row>
    <row r="65" spans="1:16" x14ac:dyDescent="0.25">
      <c r="A65" s="29">
        <v>3221</v>
      </c>
      <c r="B65" s="3" t="s">
        <v>75</v>
      </c>
      <c r="C65" s="3"/>
      <c r="D65" s="3"/>
      <c r="E65" s="3"/>
      <c r="F65" s="30"/>
      <c r="G65" s="268"/>
      <c r="H65" s="269"/>
      <c r="I65" s="268">
        <v>1500</v>
      </c>
      <c r="J65" s="269"/>
      <c r="K65" s="268">
        <v>5000</v>
      </c>
      <c r="L65" s="269"/>
      <c r="M65" s="268">
        <v>933.75</v>
      </c>
      <c r="N65" s="269"/>
      <c r="O65" s="63" t="e">
        <f t="shared" si="27"/>
        <v>#DIV/0!</v>
      </c>
      <c r="P65" s="63">
        <f t="shared" si="28"/>
        <v>18.675000000000001</v>
      </c>
    </row>
    <row r="66" spans="1:16" x14ac:dyDescent="0.25">
      <c r="A66" s="12">
        <v>3291</v>
      </c>
      <c r="B66" s="4" t="s">
        <v>142</v>
      </c>
      <c r="C66" s="4"/>
      <c r="D66" s="4"/>
      <c r="E66" s="4"/>
      <c r="F66" s="22"/>
      <c r="G66" s="96">
        <v>162</v>
      </c>
      <c r="H66" s="97"/>
      <c r="I66" s="96"/>
      <c r="J66" s="97"/>
      <c r="K66" s="96"/>
      <c r="L66" s="97"/>
      <c r="M66" s="96"/>
      <c r="N66" s="97"/>
      <c r="O66" s="57">
        <f t="shared" ref="O66:O67" si="31">M66/G66*100</f>
        <v>0</v>
      </c>
      <c r="P66" s="57" t="e">
        <f t="shared" ref="P66:P67" si="32">M66/K66*100</f>
        <v>#DIV/0!</v>
      </c>
    </row>
    <row r="67" spans="1:16" x14ac:dyDescent="0.25">
      <c r="A67" s="263" t="s">
        <v>140</v>
      </c>
      <c r="B67" s="264"/>
      <c r="C67" s="264"/>
      <c r="D67" s="264"/>
      <c r="E67" s="264"/>
      <c r="F67" s="265"/>
      <c r="G67" s="240">
        <f>SUM(G68:H76)</f>
        <v>52270.710000000006</v>
      </c>
      <c r="H67" s="241"/>
      <c r="I67" s="240">
        <f t="shared" ref="I67:K67" si="33">SUM(I68:J76)</f>
        <v>60000</v>
      </c>
      <c r="J67" s="241"/>
      <c r="K67" s="240">
        <f t="shared" si="33"/>
        <v>15966</v>
      </c>
      <c r="L67" s="241"/>
      <c r="M67" s="240">
        <f t="shared" ref="M67" si="34">SUM(M68:N76)</f>
        <v>483400.68</v>
      </c>
      <c r="N67" s="241"/>
      <c r="O67" s="65">
        <f t="shared" si="31"/>
        <v>924.80220758432381</v>
      </c>
      <c r="P67" s="65">
        <f t="shared" si="32"/>
        <v>3027.6880871852686</v>
      </c>
    </row>
    <row r="68" spans="1:16" x14ac:dyDescent="0.25">
      <c r="A68" s="29">
        <v>3111</v>
      </c>
      <c r="B68" s="3" t="s">
        <v>141</v>
      </c>
      <c r="C68" s="3"/>
      <c r="D68" s="3"/>
      <c r="E68" s="3"/>
      <c r="F68" s="30"/>
      <c r="G68" s="246"/>
      <c r="H68" s="247"/>
      <c r="I68" s="246"/>
      <c r="J68" s="247"/>
      <c r="K68" s="246"/>
      <c r="L68" s="247"/>
      <c r="M68" s="246">
        <v>325690.8</v>
      </c>
      <c r="N68" s="247"/>
      <c r="O68" s="63" t="e">
        <f t="shared" si="27"/>
        <v>#DIV/0!</v>
      </c>
      <c r="P68" s="63" t="e">
        <f t="shared" si="28"/>
        <v>#DIV/0!</v>
      </c>
    </row>
    <row r="69" spans="1:16" x14ac:dyDescent="0.25">
      <c r="A69" s="12">
        <v>3121</v>
      </c>
      <c r="B69" s="4" t="s">
        <v>66</v>
      </c>
      <c r="C69" s="4"/>
      <c r="D69" s="4"/>
      <c r="E69" s="4"/>
      <c r="F69" s="13"/>
      <c r="G69" s="96"/>
      <c r="H69" s="97"/>
      <c r="I69" s="96"/>
      <c r="J69" s="97"/>
      <c r="K69" s="96"/>
      <c r="L69" s="97"/>
      <c r="M69" s="96">
        <v>14283</v>
      </c>
      <c r="N69" s="97"/>
      <c r="O69" s="57" t="e">
        <f t="shared" si="27"/>
        <v>#DIV/0!</v>
      </c>
      <c r="P69" s="57" t="e">
        <f t="shared" si="28"/>
        <v>#DIV/0!</v>
      </c>
    </row>
    <row r="70" spans="1:16" x14ac:dyDescent="0.25">
      <c r="A70" s="12">
        <v>3231</v>
      </c>
      <c r="B70" s="4" t="s">
        <v>81</v>
      </c>
      <c r="C70" s="4"/>
      <c r="D70" s="4"/>
      <c r="E70" s="4"/>
      <c r="F70" s="13"/>
      <c r="G70" s="96"/>
      <c r="H70" s="97"/>
      <c r="I70" s="96"/>
      <c r="J70" s="97"/>
      <c r="K70" s="96"/>
      <c r="L70" s="97"/>
      <c r="M70" s="96">
        <v>40474</v>
      </c>
      <c r="N70" s="97"/>
      <c r="O70" s="57" t="e">
        <f t="shared" si="27"/>
        <v>#DIV/0!</v>
      </c>
      <c r="P70" s="57" t="e">
        <f t="shared" si="28"/>
        <v>#DIV/0!</v>
      </c>
    </row>
    <row r="71" spans="1:16" x14ac:dyDescent="0.25">
      <c r="A71" s="12">
        <v>3236</v>
      </c>
      <c r="B71" s="4" t="s">
        <v>122</v>
      </c>
      <c r="C71" s="4"/>
      <c r="D71" s="4"/>
      <c r="E71" s="4"/>
      <c r="F71" s="13"/>
      <c r="G71" s="96"/>
      <c r="H71" s="97"/>
      <c r="I71" s="96"/>
      <c r="J71" s="97"/>
      <c r="K71" s="96">
        <v>9380</v>
      </c>
      <c r="L71" s="97"/>
      <c r="M71" s="96">
        <v>9380</v>
      </c>
      <c r="N71" s="97"/>
      <c r="O71" s="57" t="e">
        <f t="shared" si="27"/>
        <v>#DIV/0!</v>
      </c>
      <c r="P71" s="57">
        <f t="shared" si="28"/>
        <v>100</v>
      </c>
    </row>
    <row r="72" spans="1:16" x14ac:dyDescent="0.25">
      <c r="A72" s="12">
        <v>3237</v>
      </c>
      <c r="B72" s="4" t="s">
        <v>85</v>
      </c>
      <c r="C72" s="4"/>
      <c r="D72" s="4"/>
      <c r="E72" s="4"/>
      <c r="F72" s="13"/>
      <c r="G72" s="96">
        <v>1296</v>
      </c>
      <c r="H72" s="97"/>
      <c r="I72" s="96">
        <v>5000</v>
      </c>
      <c r="J72" s="97"/>
      <c r="K72" s="96"/>
      <c r="L72" s="97"/>
      <c r="M72" s="96"/>
      <c r="N72" s="97"/>
      <c r="O72" s="57">
        <f t="shared" ref="O72" si="35">M72/G72*100</f>
        <v>0</v>
      </c>
      <c r="P72" s="57" t="e">
        <f t="shared" ref="P72" si="36">M72/K72*100</f>
        <v>#DIV/0!</v>
      </c>
    </row>
    <row r="73" spans="1:16" x14ac:dyDescent="0.25">
      <c r="A73" s="12">
        <v>3239</v>
      </c>
      <c r="B73" s="4" t="s">
        <v>87</v>
      </c>
      <c r="C73" s="4"/>
      <c r="D73" s="4"/>
      <c r="E73" s="4"/>
      <c r="F73" s="13"/>
      <c r="G73" s="96">
        <v>45008.3</v>
      </c>
      <c r="H73" s="97"/>
      <c r="I73" s="96">
        <v>45000</v>
      </c>
      <c r="J73" s="97"/>
      <c r="K73" s="96"/>
      <c r="L73" s="97"/>
      <c r="M73" s="96"/>
      <c r="N73" s="97"/>
      <c r="O73" s="57">
        <f t="shared" ref="O73" si="37">M73/G73*100</f>
        <v>0</v>
      </c>
      <c r="P73" s="57" t="e">
        <f t="shared" ref="P73" si="38">M73/K73*100</f>
        <v>#DIV/0!</v>
      </c>
    </row>
    <row r="74" spans="1:16" x14ac:dyDescent="0.25">
      <c r="A74" s="12">
        <v>3291</v>
      </c>
      <c r="B74" s="4" t="s">
        <v>142</v>
      </c>
      <c r="C74" s="4"/>
      <c r="D74" s="4"/>
      <c r="E74" s="4"/>
      <c r="F74" s="13"/>
      <c r="G74" s="96"/>
      <c r="H74" s="97"/>
      <c r="I74" s="96"/>
      <c r="J74" s="97"/>
      <c r="K74" s="96">
        <v>586</v>
      </c>
      <c r="L74" s="97"/>
      <c r="M74" s="96">
        <v>486</v>
      </c>
      <c r="N74" s="97"/>
      <c r="O74" s="57" t="e">
        <f t="shared" si="27"/>
        <v>#DIV/0!</v>
      </c>
      <c r="P74" s="57">
        <f t="shared" si="28"/>
        <v>82.935153583617748</v>
      </c>
    </row>
    <row r="75" spans="1:16" x14ac:dyDescent="0.25">
      <c r="A75" s="12">
        <v>3291</v>
      </c>
      <c r="B75" s="4" t="s">
        <v>94</v>
      </c>
      <c r="C75" s="4"/>
      <c r="D75" s="4"/>
      <c r="E75" s="4"/>
      <c r="F75" s="13"/>
      <c r="G75" s="96"/>
      <c r="H75" s="97"/>
      <c r="I75" s="96"/>
      <c r="J75" s="97"/>
      <c r="K75" s="96"/>
      <c r="L75" s="97"/>
      <c r="M75" s="96">
        <v>87090.51</v>
      </c>
      <c r="N75" s="97"/>
      <c r="O75" s="57" t="e">
        <f t="shared" si="27"/>
        <v>#DIV/0!</v>
      </c>
      <c r="P75" s="57" t="e">
        <f t="shared" si="28"/>
        <v>#DIV/0!</v>
      </c>
    </row>
    <row r="76" spans="1:16" x14ac:dyDescent="0.25">
      <c r="A76" s="29">
        <v>4241</v>
      </c>
      <c r="B76" s="3" t="s">
        <v>143</v>
      </c>
      <c r="C76" s="3"/>
      <c r="D76" s="3"/>
      <c r="E76" s="3"/>
      <c r="F76" s="30"/>
      <c r="G76" s="266">
        <v>5966.41</v>
      </c>
      <c r="H76" s="267"/>
      <c r="I76" s="266">
        <v>10000</v>
      </c>
      <c r="J76" s="267"/>
      <c r="K76" s="266">
        <v>6000</v>
      </c>
      <c r="L76" s="267"/>
      <c r="M76" s="266">
        <v>5996.37</v>
      </c>
      <c r="N76" s="267"/>
      <c r="O76" s="57">
        <f t="shared" si="27"/>
        <v>100.50214450565751</v>
      </c>
      <c r="P76" s="57">
        <f t="shared" si="28"/>
        <v>99.93950000000001</v>
      </c>
    </row>
    <row r="77" spans="1:16" x14ac:dyDescent="0.25">
      <c r="A77" s="263" t="s">
        <v>150</v>
      </c>
      <c r="B77" s="264"/>
      <c r="C77" s="264"/>
      <c r="D77" s="264"/>
      <c r="E77" s="264"/>
      <c r="F77" s="265"/>
      <c r="G77" s="240">
        <f>G78</f>
        <v>0</v>
      </c>
      <c r="H77" s="241"/>
      <c r="I77" s="240">
        <f t="shared" ref="I77:K77" si="39">I78</f>
        <v>0</v>
      </c>
      <c r="J77" s="241"/>
      <c r="K77" s="240">
        <f t="shared" si="39"/>
        <v>0</v>
      </c>
      <c r="L77" s="241"/>
      <c r="M77" s="240">
        <f t="shared" ref="M77" si="40">M78</f>
        <v>3334.78</v>
      </c>
      <c r="N77" s="241"/>
      <c r="O77" s="65" t="e">
        <f t="shared" si="27"/>
        <v>#DIV/0!</v>
      </c>
      <c r="P77" s="65" t="e">
        <f t="shared" si="28"/>
        <v>#DIV/0!</v>
      </c>
    </row>
    <row r="78" spans="1:16" x14ac:dyDescent="0.25">
      <c r="A78" s="29">
        <v>4241</v>
      </c>
      <c r="B78" s="3" t="s">
        <v>143</v>
      </c>
      <c r="C78" s="3"/>
      <c r="D78" s="3"/>
      <c r="E78" s="3"/>
      <c r="F78" s="30"/>
      <c r="G78" s="268"/>
      <c r="H78" s="269"/>
      <c r="I78" s="268"/>
      <c r="J78" s="269"/>
      <c r="K78" s="268"/>
      <c r="L78" s="269"/>
      <c r="M78" s="268">
        <v>3334.78</v>
      </c>
      <c r="N78" s="269"/>
      <c r="O78" s="63" t="e">
        <f t="shared" si="27"/>
        <v>#DIV/0!</v>
      </c>
      <c r="P78" s="63" t="e">
        <f t="shared" si="28"/>
        <v>#DIV/0!</v>
      </c>
    </row>
    <row r="79" spans="1:16" x14ac:dyDescent="0.25">
      <c r="A79" s="263" t="s">
        <v>145</v>
      </c>
      <c r="B79" s="264"/>
      <c r="C79" s="264"/>
      <c r="D79" s="264"/>
      <c r="E79" s="264"/>
      <c r="F79" s="265"/>
      <c r="G79" s="240">
        <f>G80</f>
        <v>0</v>
      </c>
      <c r="H79" s="241"/>
      <c r="I79" s="240">
        <f t="shared" ref="I79:K79" si="41">I80</f>
        <v>0</v>
      </c>
      <c r="J79" s="241"/>
      <c r="K79" s="240">
        <f t="shared" si="41"/>
        <v>0</v>
      </c>
      <c r="L79" s="241"/>
      <c r="M79" s="240">
        <f t="shared" ref="M79" si="42">M80</f>
        <v>7106.69</v>
      </c>
      <c r="N79" s="241"/>
      <c r="O79" s="65" t="e">
        <f t="shared" si="27"/>
        <v>#DIV/0!</v>
      </c>
      <c r="P79" s="65" t="e">
        <f t="shared" si="28"/>
        <v>#DIV/0!</v>
      </c>
    </row>
    <row r="80" spans="1:16" x14ac:dyDescent="0.25">
      <c r="A80" s="29">
        <v>3222</v>
      </c>
      <c r="B80" s="3" t="s">
        <v>109</v>
      </c>
      <c r="C80" s="3"/>
      <c r="D80" s="3"/>
      <c r="E80" s="3"/>
      <c r="F80" s="30"/>
      <c r="G80" s="268"/>
      <c r="H80" s="269"/>
      <c r="I80" s="268"/>
      <c r="J80" s="269"/>
      <c r="K80" s="268"/>
      <c r="L80" s="269"/>
      <c r="M80" s="268">
        <v>7106.69</v>
      </c>
      <c r="N80" s="269"/>
      <c r="O80" s="63" t="e">
        <f t="shared" si="27"/>
        <v>#DIV/0!</v>
      </c>
      <c r="P80" s="63" t="e">
        <f t="shared" si="28"/>
        <v>#DIV/0!</v>
      </c>
    </row>
    <row r="81" spans="1:16" x14ac:dyDescent="0.25">
      <c r="A81" s="263" t="s">
        <v>146</v>
      </c>
      <c r="B81" s="264"/>
      <c r="C81" s="264"/>
      <c r="D81" s="264"/>
      <c r="E81" s="264"/>
      <c r="F81" s="265"/>
      <c r="G81" s="240">
        <f>SUM(G82:H83)</f>
        <v>0</v>
      </c>
      <c r="H81" s="241"/>
      <c r="I81" s="240">
        <f t="shared" ref="I81:K81" si="43">SUM(I82:J83)</f>
        <v>0</v>
      </c>
      <c r="J81" s="241"/>
      <c r="K81" s="240">
        <f t="shared" si="43"/>
        <v>0</v>
      </c>
      <c r="L81" s="241"/>
      <c r="M81" s="240">
        <f t="shared" ref="M81" si="44">SUM(M82:N83)</f>
        <v>72392.599999999991</v>
      </c>
      <c r="N81" s="241"/>
      <c r="O81" s="65" t="e">
        <f t="shared" si="27"/>
        <v>#DIV/0!</v>
      </c>
      <c r="P81" s="65" t="e">
        <f t="shared" si="28"/>
        <v>#DIV/0!</v>
      </c>
    </row>
    <row r="82" spans="1:16" x14ac:dyDescent="0.25">
      <c r="A82" s="11">
        <v>3225</v>
      </c>
      <c r="B82" s="46" t="s">
        <v>148</v>
      </c>
      <c r="C82" s="46"/>
      <c r="D82" s="46"/>
      <c r="E82" s="46"/>
      <c r="F82" s="45"/>
      <c r="G82" s="246"/>
      <c r="H82" s="247"/>
      <c r="I82" s="246"/>
      <c r="J82" s="247"/>
      <c r="K82" s="246"/>
      <c r="L82" s="247"/>
      <c r="M82" s="246">
        <v>13392.65</v>
      </c>
      <c r="N82" s="247"/>
      <c r="O82" s="63" t="e">
        <f t="shared" si="27"/>
        <v>#DIV/0!</v>
      </c>
      <c r="P82" s="63" t="e">
        <f t="shared" si="28"/>
        <v>#DIV/0!</v>
      </c>
    </row>
    <row r="83" spans="1:16" x14ac:dyDescent="0.25">
      <c r="A83" s="12">
        <v>4227</v>
      </c>
      <c r="B83" s="4" t="s">
        <v>127</v>
      </c>
      <c r="C83" s="4"/>
      <c r="D83" s="4"/>
      <c r="E83" s="4"/>
      <c r="F83" s="13"/>
      <c r="G83" s="266"/>
      <c r="H83" s="267"/>
      <c r="I83" s="266"/>
      <c r="J83" s="267"/>
      <c r="K83" s="266"/>
      <c r="L83" s="267"/>
      <c r="M83" s="266">
        <v>58999.95</v>
      </c>
      <c r="N83" s="267"/>
      <c r="O83" s="57" t="e">
        <f t="shared" si="27"/>
        <v>#DIV/0!</v>
      </c>
      <c r="P83" s="57" t="e">
        <f t="shared" si="28"/>
        <v>#DIV/0!</v>
      </c>
    </row>
    <row r="84" spans="1:16" x14ac:dyDescent="0.25">
      <c r="A84" s="263" t="s">
        <v>149</v>
      </c>
      <c r="B84" s="264"/>
      <c r="C84" s="264"/>
      <c r="D84" s="264"/>
      <c r="E84" s="264"/>
      <c r="F84" s="265"/>
      <c r="G84" s="240">
        <f>SUM(G85:H93)</f>
        <v>137517.91999999998</v>
      </c>
      <c r="H84" s="241"/>
      <c r="I84" s="240">
        <f t="shared" ref="I84:K84" si="45">SUM(I86:J93)</f>
        <v>8000</v>
      </c>
      <c r="J84" s="241"/>
      <c r="K84" s="240">
        <f t="shared" si="45"/>
        <v>20080</v>
      </c>
      <c r="L84" s="241"/>
      <c r="M84" s="240">
        <f t="shared" ref="M84" si="46">SUM(M86:N93)</f>
        <v>40442.630000000005</v>
      </c>
      <c r="N84" s="241"/>
      <c r="O84" s="65">
        <f t="shared" si="27"/>
        <v>29.408989024848548</v>
      </c>
      <c r="P84" s="65">
        <f t="shared" si="28"/>
        <v>201.40751992031875</v>
      </c>
    </row>
    <row r="85" spans="1:16" x14ac:dyDescent="0.25">
      <c r="A85" s="11">
        <v>3121</v>
      </c>
      <c r="B85" s="46" t="s">
        <v>66</v>
      </c>
      <c r="C85" s="46"/>
      <c r="D85" s="46"/>
      <c r="E85" s="46"/>
      <c r="F85" s="45"/>
      <c r="G85" s="246">
        <v>1500</v>
      </c>
      <c r="H85" s="247"/>
      <c r="I85" s="246"/>
      <c r="J85" s="247"/>
      <c r="K85" s="246"/>
      <c r="L85" s="247"/>
      <c r="M85" s="246"/>
      <c r="N85" s="247"/>
      <c r="O85" s="63">
        <f t="shared" ref="O85" si="47">M85/G85*100</f>
        <v>0</v>
      </c>
      <c r="P85" s="63" t="e">
        <f t="shared" ref="P85" si="48">M85/K85*100</f>
        <v>#DIV/0!</v>
      </c>
    </row>
    <row r="86" spans="1:16" x14ac:dyDescent="0.25">
      <c r="A86" s="12">
        <v>3231</v>
      </c>
      <c r="B86" s="4" t="s">
        <v>81</v>
      </c>
      <c r="C86" s="4"/>
      <c r="D86" s="4"/>
      <c r="E86" s="4"/>
      <c r="F86" s="13"/>
      <c r="G86" s="246"/>
      <c r="H86" s="247"/>
      <c r="I86" s="246"/>
      <c r="J86" s="247"/>
      <c r="K86" s="246"/>
      <c r="L86" s="247"/>
      <c r="M86" s="246">
        <v>5964</v>
      </c>
      <c r="N86" s="247"/>
      <c r="O86" s="57" t="e">
        <f t="shared" si="27"/>
        <v>#DIV/0!</v>
      </c>
      <c r="P86" s="57" t="e">
        <f t="shared" si="28"/>
        <v>#DIV/0!</v>
      </c>
    </row>
    <row r="87" spans="1:16" x14ac:dyDescent="0.25">
      <c r="A87" s="12">
        <v>3232</v>
      </c>
      <c r="B87" s="4" t="s">
        <v>82</v>
      </c>
      <c r="C87" s="4"/>
      <c r="D87" s="4"/>
      <c r="E87" s="4"/>
      <c r="F87" s="13"/>
      <c r="G87" s="246">
        <v>39659.279999999999</v>
      </c>
      <c r="H87" s="247"/>
      <c r="I87" s="246"/>
      <c r="J87" s="247"/>
      <c r="K87" s="246"/>
      <c r="L87" s="247"/>
      <c r="M87" s="246"/>
      <c r="N87" s="247"/>
      <c r="O87" s="57">
        <f t="shared" ref="O87" si="49">M87/G87*100</f>
        <v>0</v>
      </c>
      <c r="P87" s="57" t="e">
        <f t="shared" ref="P87" si="50">M87/K87*100</f>
        <v>#DIV/0!</v>
      </c>
    </row>
    <row r="88" spans="1:16" x14ac:dyDescent="0.25">
      <c r="A88" s="12">
        <v>3236</v>
      </c>
      <c r="B88" s="4" t="s">
        <v>122</v>
      </c>
      <c r="C88" s="4"/>
      <c r="D88" s="4"/>
      <c r="E88" s="4"/>
      <c r="F88" s="13"/>
      <c r="G88" s="96"/>
      <c r="H88" s="97"/>
      <c r="I88" s="96"/>
      <c r="J88" s="97"/>
      <c r="K88" s="96">
        <v>3380</v>
      </c>
      <c r="L88" s="97"/>
      <c r="M88" s="96">
        <v>3380</v>
      </c>
      <c r="N88" s="97"/>
      <c r="O88" s="57" t="e">
        <f t="shared" si="27"/>
        <v>#DIV/0!</v>
      </c>
      <c r="P88" s="57">
        <f t="shared" si="28"/>
        <v>100</v>
      </c>
    </row>
    <row r="89" spans="1:16" x14ac:dyDescent="0.25">
      <c r="A89" s="12">
        <v>3237</v>
      </c>
      <c r="B89" s="4" t="s">
        <v>85</v>
      </c>
      <c r="C89" s="4"/>
      <c r="D89" s="4"/>
      <c r="E89" s="4"/>
      <c r="F89" s="13"/>
      <c r="G89" s="96"/>
      <c r="H89" s="97"/>
      <c r="I89" s="96">
        <v>6000</v>
      </c>
      <c r="J89" s="97"/>
      <c r="K89" s="96"/>
      <c r="L89" s="97"/>
      <c r="M89" s="96">
        <v>3424.02</v>
      </c>
      <c r="N89" s="97"/>
      <c r="O89" s="57" t="e">
        <f t="shared" si="27"/>
        <v>#DIV/0!</v>
      </c>
      <c r="P89" s="57" t="e">
        <f t="shared" si="28"/>
        <v>#DIV/0!</v>
      </c>
    </row>
    <row r="90" spans="1:16" x14ac:dyDescent="0.25">
      <c r="A90" s="12">
        <v>3291</v>
      </c>
      <c r="B90" s="4" t="s">
        <v>142</v>
      </c>
      <c r="C90" s="4"/>
      <c r="D90" s="4"/>
      <c r="E90" s="4"/>
      <c r="F90" s="13"/>
      <c r="G90" s="96"/>
      <c r="H90" s="97"/>
      <c r="I90" s="96"/>
      <c r="J90" s="97"/>
      <c r="K90" s="96">
        <v>200</v>
      </c>
      <c r="L90" s="97"/>
      <c r="M90" s="96"/>
      <c r="N90" s="97"/>
      <c r="O90" s="57" t="e">
        <f t="shared" si="27"/>
        <v>#DIV/0!</v>
      </c>
      <c r="P90" s="57">
        <f t="shared" si="28"/>
        <v>0</v>
      </c>
    </row>
    <row r="91" spans="1:16" x14ac:dyDescent="0.25">
      <c r="A91" s="12">
        <v>3299</v>
      </c>
      <c r="B91" s="4" t="s">
        <v>88</v>
      </c>
      <c r="C91" s="4"/>
      <c r="D91" s="4"/>
      <c r="E91" s="4"/>
      <c r="F91" s="13"/>
      <c r="G91" s="96">
        <v>18408.64</v>
      </c>
      <c r="H91" s="97"/>
      <c r="I91" s="96">
        <v>2000</v>
      </c>
      <c r="J91" s="97"/>
      <c r="K91" s="96">
        <v>15000</v>
      </c>
      <c r="L91" s="97"/>
      <c r="M91" s="96">
        <v>2243.86</v>
      </c>
      <c r="N91" s="97"/>
      <c r="O91" s="57">
        <f t="shared" si="27"/>
        <v>12.189167695169226</v>
      </c>
      <c r="P91" s="57">
        <f t="shared" si="28"/>
        <v>14.959066666666669</v>
      </c>
    </row>
    <row r="92" spans="1:16" x14ac:dyDescent="0.25">
      <c r="A92" s="12">
        <v>3811</v>
      </c>
      <c r="B92" s="4" t="s">
        <v>123</v>
      </c>
      <c r="C92" s="4"/>
      <c r="D92" s="4"/>
      <c r="E92" s="4"/>
      <c r="F92" s="13"/>
      <c r="G92" s="96"/>
      <c r="H92" s="97"/>
      <c r="I92" s="96"/>
      <c r="J92" s="97"/>
      <c r="K92" s="96">
        <v>1500</v>
      </c>
      <c r="L92" s="97"/>
      <c r="M92" s="96">
        <v>1500</v>
      </c>
      <c r="N92" s="97"/>
      <c r="O92" s="57" t="e">
        <f t="shared" si="27"/>
        <v>#DIV/0!</v>
      </c>
      <c r="P92" s="57">
        <f t="shared" si="28"/>
        <v>100</v>
      </c>
    </row>
    <row r="93" spans="1:16" x14ac:dyDescent="0.25">
      <c r="A93" s="29">
        <v>4221</v>
      </c>
      <c r="B93" s="3" t="s">
        <v>114</v>
      </c>
      <c r="C93" s="3"/>
      <c r="D93" s="3"/>
      <c r="E93" s="3"/>
      <c r="F93" s="30"/>
      <c r="G93" s="266">
        <v>77950</v>
      </c>
      <c r="H93" s="267"/>
      <c r="I93" s="266"/>
      <c r="J93" s="267"/>
      <c r="K93" s="266"/>
      <c r="L93" s="267"/>
      <c r="M93" s="266">
        <v>23930.75</v>
      </c>
      <c r="N93" s="267"/>
      <c r="O93" s="57">
        <f t="shared" si="27"/>
        <v>30.700128287363693</v>
      </c>
      <c r="P93" s="57" t="e">
        <f t="shared" si="28"/>
        <v>#DIV/0!</v>
      </c>
    </row>
    <row r="94" spans="1:16" x14ac:dyDescent="0.25">
      <c r="A94" s="263" t="s">
        <v>151</v>
      </c>
      <c r="B94" s="264"/>
      <c r="C94" s="264"/>
      <c r="D94" s="264"/>
      <c r="E94" s="264"/>
      <c r="F94" s="265"/>
      <c r="G94" s="240">
        <f>G96</f>
        <v>10440</v>
      </c>
      <c r="H94" s="241"/>
      <c r="I94" s="240">
        <f t="shared" ref="I94:K94" si="51">I96</f>
        <v>0</v>
      </c>
      <c r="J94" s="241"/>
      <c r="K94" s="240">
        <f t="shared" si="51"/>
        <v>10000</v>
      </c>
      <c r="L94" s="241"/>
      <c r="M94" s="240">
        <f t="shared" ref="M94" si="52">M96</f>
        <v>8434.94</v>
      </c>
      <c r="N94" s="241"/>
      <c r="O94" s="303">
        <f>M94/G94*100</f>
        <v>80.794444444444451</v>
      </c>
      <c r="P94" s="303">
        <f t="shared" si="28"/>
        <v>84.349400000000003</v>
      </c>
    </row>
    <row r="95" spans="1:16" x14ac:dyDescent="0.25">
      <c r="A95" s="237" t="s">
        <v>138</v>
      </c>
      <c r="B95" s="238"/>
      <c r="C95" s="238"/>
      <c r="D95" s="238"/>
      <c r="E95" s="238"/>
      <c r="F95" s="239"/>
      <c r="G95" s="242"/>
      <c r="H95" s="243"/>
      <c r="I95" s="242"/>
      <c r="J95" s="243"/>
      <c r="K95" s="242"/>
      <c r="L95" s="243"/>
      <c r="M95" s="242"/>
      <c r="N95" s="243"/>
      <c r="O95" s="304"/>
      <c r="P95" s="304" t="e">
        <f t="shared" si="28"/>
        <v>#DIV/0!</v>
      </c>
    </row>
    <row r="96" spans="1:16" x14ac:dyDescent="0.25">
      <c r="A96" s="29">
        <v>3721</v>
      </c>
      <c r="B96" s="3" t="s">
        <v>152</v>
      </c>
      <c r="C96" s="3"/>
      <c r="D96" s="3"/>
      <c r="E96" s="3"/>
      <c r="F96" s="30"/>
      <c r="G96" s="268">
        <v>10440</v>
      </c>
      <c r="H96" s="269"/>
      <c r="I96" s="268"/>
      <c r="J96" s="269"/>
      <c r="K96" s="268">
        <v>10000</v>
      </c>
      <c r="L96" s="269"/>
      <c r="M96" s="268">
        <v>8434.94</v>
      </c>
      <c r="N96" s="269"/>
      <c r="O96" s="63">
        <f>M96/G96*100</f>
        <v>80.794444444444451</v>
      </c>
      <c r="P96" s="63">
        <f>M96/K96*100</f>
        <v>84.349400000000003</v>
      </c>
    </row>
    <row r="97" spans="1:16" x14ac:dyDescent="0.25">
      <c r="A97" s="263" t="s">
        <v>153</v>
      </c>
      <c r="B97" s="264"/>
      <c r="C97" s="264"/>
      <c r="D97" s="264"/>
      <c r="E97" s="264"/>
      <c r="F97" s="265"/>
      <c r="G97" s="270">
        <f>G99</f>
        <v>0</v>
      </c>
      <c r="H97" s="271"/>
      <c r="I97" s="270">
        <f t="shared" ref="I97:K97" si="53">I99</f>
        <v>0</v>
      </c>
      <c r="J97" s="271"/>
      <c r="K97" s="270">
        <f t="shared" si="53"/>
        <v>6000</v>
      </c>
      <c r="L97" s="271"/>
      <c r="M97" s="270">
        <f t="shared" ref="M97" si="54">M99</f>
        <v>5924.34</v>
      </c>
      <c r="N97" s="271"/>
      <c r="O97" s="303" t="e">
        <f>M97/G97*100</f>
        <v>#DIV/0!</v>
      </c>
      <c r="P97" s="303">
        <f t="shared" ref="P97:P98" si="55">M97/K97*100</f>
        <v>98.739000000000004</v>
      </c>
    </row>
    <row r="98" spans="1:16" x14ac:dyDescent="0.25">
      <c r="A98" s="237" t="s">
        <v>138</v>
      </c>
      <c r="B98" s="238"/>
      <c r="C98" s="238"/>
      <c r="D98" s="238"/>
      <c r="E98" s="238"/>
      <c r="F98" s="239"/>
      <c r="G98" s="240"/>
      <c r="H98" s="241"/>
      <c r="I98" s="240"/>
      <c r="J98" s="241"/>
      <c r="K98" s="240"/>
      <c r="L98" s="241"/>
      <c r="M98" s="240"/>
      <c r="N98" s="241"/>
      <c r="O98" s="304"/>
      <c r="P98" s="304" t="e">
        <f t="shared" si="55"/>
        <v>#DIV/0!</v>
      </c>
    </row>
    <row r="99" spans="1:16" x14ac:dyDescent="0.25">
      <c r="A99" s="29">
        <v>3299</v>
      </c>
      <c r="B99" s="3" t="s">
        <v>154</v>
      </c>
      <c r="C99" s="3"/>
      <c r="D99" s="3"/>
      <c r="E99" s="3"/>
      <c r="F99" s="30"/>
      <c r="G99" s="268"/>
      <c r="H99" s="269"/>
      <c r="I99" s="268"/>
      <c r="J99" s="269"/>
      <c r="K99" s="268">
        <v>6000</v>
      </c>
      <c r="L99" s="269"/>
      <c r="M99" s="268">
        <v>5924.34</v>
      </c>
      <c r="N99" s="269"/>
      <c r="O99" s="63" t="e">
        <f>M99/G99*100</f>
        <v>#DIV/0!</v>
      </c>
      <c r="P99" s="63">
        <f>M99/K99*100</f>
        <v>98.739000000000004</v>
      </c>
    </row>
    <row r="100" spans="1:16" x14ac:dyDescent="0.25">
      <c r="A100" s="263" t="s">
        <v>195</v>
      </c>
      <c r="B100" s="264"/>
      <c r="C100" s="264"/>
      <c r="D100" s="264"/>
      <c r="E100" s="264"/>
      <c r="F100" s="265"/>
      <c r="G100" s="270">
        <f>G102</f>
        <v>1470</v>
      </c>
      <c r="H100" s="271"/>
      <c r="I100" s="270">
        <f t="shared" ref="I100:K100" si="56">I102</f>
        <v>0</v>
      </c>
      <c r="J100" s="271"/>
      <c r="K100" s="270">
        <f t="shared" si="56"/>
        <v>0</v>
      </c>
      <c r="L100" s="271"/>
      <c r="M100" s="270">
        <f t="shared" ref="M100" si="57">M102</f>
        <v>0</v>
      </c>
      <c r="N100" s="271"/>
      <c r="O100" s="303">
        <f>M100/G100*100</f>
        <v>0</v>
      </c>
      <c r="P100" s="303" t="e">
        <f t="shared" ref="P100:P101" si="58">M100/K100*100</f>
        <v>#DIV/0!</v>
      </c>
    </row>
    <row r="101" spans="1:16" x14ac:dyDescent="0.25">
      <c r="A101" s="237" t="s">
        <v>150</v>
      </c>
      <c r="B101" s="238"/>
      <c r="C101" s="238"/>
      <c r="D101" s="238"/>
      <c r="E101" s="238"/>
      <c r="F101" s="239"/>
      <c r="G101" s="240"/>
      <c r="H101" s="241"/>
      <c r="I101" s="240"/>
      <c r="J101" s="241"/>
      <c r="K101" s="240"/>
      <c r="L101" s="241"/>
      <c r="M101" s="240"/>
      <c r="N101" s="241"/>
      <c r="O101" s="304"/>
      <c r="P101" s="304" t="e">
        <f t="shared" si="58"/>
        <v>#DIV/0!</v>
      </c>
    </row>
    <row r="102" spans="1:16" x14ac:dyDescent="0.25">
      <c r="A102" s="29">
        <v>4241</v>
      </c>
      <c r="B102" s="3" t="s">
        <v>196</v>
      </c>
      <c r="C102" s="3"/>
      <c r="D102" s="3"/>
      <c r="E102" s="3"/>
      <c r="F102" s="30"/>
      <c r="G102" s="268">
        <v>1470</v>
      </c>
      <c r="H102" s="269"/>
      <c r="I102" s="268"/>
      <c r="J102" s="269"/>
      <c r="K102" s="268"/>
      <c r="L102" s="269"/>
      <c r="M102" s="268"/>
      <c r="N102" s="269"/>
      <c r="O102" s="63">
        <f>M102/G102*100</f>
        <v>0</v>
      </c>
      <c r="P102" s="63" t="e">
        <f>M102/K102*100</f>
        <v>#DIV/0!</v>
      </c>
    </row>
    <row r="103" spans="1:16" x14ac:dyDescent="0.25">
      <c r="A103" s="278" t="s">
        <v>155</v>
      </c>
      <c r="B103" s="279"/>
      <c r="C103" s="279"/>
      <c r="D103" s="279"/>
      <c r="E103" s="279"/>
      <c r="F103" s="280"/>
      <c r="G103" s="259">
        <f>G104</f>
        <v>134190.70000000001</v>
      </c>
      <c r="H103" s="260"/>
      <c r="I103" s="259">
        <f t="shared" ref="I103:K103" si="59">I104</f>
        <v>0</v>
      </c>
      <c r="J103" s="260"/>
      <c r="K103" s="259">
        <f t="shared" si="59"/>
        <v>96891.41</v>
      </c>
      <c r="L103" s="260"/>
      <c r="M103" s="259">
        <f t="shared" ref="M103" si="60">M104</f>
        <v>96891.41</v>
      </c>
      <c r="N103" s="260"/>
      <c r="O103" s="64">
        <f>M103/G103*100</f>
        <v>72.204266018434964</v>
      </c>
      <c r="P103" s="64">
        <f>M103/K103*100</f>
        <v>100</v>
      </c>
    </row>
    <row r="104" spans="1:16" x14ac:dyDescent="0.25">
      <c r="A104" s="237" t="s">
        <v>156</v>
      </c>
      <c r="B104" s="238"/>
      <c r="C104" s="238"/>
      <c r="D104" s="238"/>
      <c r="E104" s="238"/>
      <c r="F104" s="239"/>
      <c r="G104" s="261">
        <f>SUM(G106:H109)</f>
        <v>134190.70000000001</v>
      </c>
      <c r="H104" s="262"/>
      <c r="I104" s="261">
        <f t="shared" ref="I104:K104" si="61">SUM(I106:J109)</f>
        <v>0</v>
      </c>
      <c r="J104" s="262"/>
      <c r="K104" s="261">
        <f t="shared" si="61"/>
        <v>96891.41</v>
      </c>
      <c r="L104" s="262"/>
      <c r="M104" s="261">
        <f t="shared" ref="M104" si="62">SUM(M106:N109)</f>
        <v>96891.41</v>
      </c>
      <c r="N104" s="262"/>
      <c r="O104" s="304">
        <f>M104/G104*100</f>
        <v>72.204266018434964</v>
      </c>
      <c r="P104" s="304">
        <f t="shared" ref="P104:P105" si="63">M104/K104*100</f>
        <v>100</v>
      </c>
    </row>
    <row r="105" spans="1:16" x14ac:dyDescent="0.25">
      <c r="A105" s="237" t="s">
        <v>138</v>
      </c>
      <c r="B105" s="238"/>
      <c r="C105" s="238"/>
      <c r="D105" s="238"/>
      <c r="E105" s="238"/>
      <c r="F105" s="239"/>
      <c r="G105" s="240"/>
      <c r="H105" s="241"/>
      <c r="I105" s="240"/>
      <c r="J105" s="241"/>
      <c r="K105" s="240"/>
      <c r="L105" s="241"/>
      <c r="M105" s="240"/>
      <c r="N105" s="241"/>
      <c r="O105" s="304"/>
      <c r="P105" s="304" t="e">
        <f t="shared" si="63"/>
        <v>#DIV/0!</v>
      </c>
    </row>
    <row r="106" spans="1:16" x14ac:dyDescent="0.25">
      <c r="A106" s="29">
        <v>3111</v>
      </c>
      <c r="B106" s="3" t="s">
        <v>65</v>
      </c>
      <c r="C106" s="3"/>
      <c r="D106" s="3"/>
      <c r="E106" s="3"/>
      <c r="F106" s="30"/>
      <c r="G106" s="246">
        <v>97321.94</v>
      </c>
      <c r="H106" s="247"/>
      <c r="I106" s="246"/>
      <c r="J106" s="247"/>
      <c r="K106" s="246">
        <v>76818.75</v>
      </c>
      <c r="L106" s="247"/>
      <c r="M106" s="246">
        <v>76818.75</v>
      </c>
      <c r="N106" s="247"/>
      <c r="O106" s="63">
        <f>M106/G106*100</f>
        <v>78.932612728435132</v>
      </c>
      <c r="P106" s="63">
        <f>M106/K106*100</f>
        <v>100</v>
      </c>
    </row>
    <row r="107" spans="1:16" x14ac:dyDescent="0.25">
      <c r="A107" s="12">
        <v>3121</v>
      </c>
      <c r="B107" s="4" t="s">
        <v>66</v>
      </c>
      <c r="C107" s="4"/>
      <c r="D107" s="4"/>
      <c r="E107" s="4"/>
      <c r="F107" s="13"/>
      <c r="G107" s="96">
        <v>11700</v>
      </c>
      <c r="H107" s="97"/>
      <c r="I107" s="96"/>
      <c r="J107" s="97"/>
      <c r="K107" s="96">
        <v>1500</v>
      </c>
      <c r="L107" s="97"/>
      <c r="M107" s="96">
        <v>1500</v>
      </c>
      <c r="N107" s="97"/>
      <c r="O107" s="57">
        <f t="shared" ref="O107:O109" si="64">M107/G107*100</f>
        <v>12.820512820512819</v>
      </c>
      <c r="P107" s="57">
        <f t="shared" ref="P107:P109" si="65">M107/K107*100</f>
        <v>100</v>
      </c>
    </row>
    <row r="108" spans="1:16" x14ac:dyDescent="0.25">
      <c r="A108" s="12">
        <v>3132</v>
      </c>
      <c r="B108" s="4" t="s">
        <v>157</v>
      </c>
      <c r="C108" s="4"/>
      <c r="D108" s="4"/>
      <c r="E108" s="4"/>
      <c r="F108" s="13"/>
      <c r="G108" s="96">
        <v>16058.16</v>
      </c>
      <c r="H108" s="97"/>
      <c r="I108" s="96"/>
      <c r="J108" s="97"/>
      <c r="K108" s="96">
        <v>11685.1</v>
      </c>
      <c r="L108" s="97"/>
      <c r="M108" s="96">
        <v>11685.1</v>
      </c>
      <c r="N108" s="97"/>
      <c r="O108" s="57">
        <f t="shared" si="64"/>
        <v>72.767365625949679</v>
      </c>
      <c r="P108" s="57">
        <f t="shared" si="65"/>
        <v>100</v>
      </c>
    </row>
    <row r="109" spans="1:16" x14ac:dyDescent="0.25">
      <c r="A109" s="29">
        <v>3212</v>
      </c>
      <c r="B109" s="3" t="s">
        <v>126</v>
      </c>
      <c r="C109" s="3"/>
      <c r="D109" s="3"/>
      <c r="E109" s="3"/>
      <c r="F109" s="30"/>
      <c r="G109" s="266">
        <v>9110.6</v>
      </c>
      <c r="H109" s="267"/>
      <c r="I109" s="266"/>
      <c r="J109" s="267"/>
      <c r="K109" s="266">
        <v>6887.56</v>
      </c>
      <c r="L109" s="267"/>
      <c r="M109" s="266">
        <v>6887.56</v>
      </c>
      <c r="N109" s="267"/>
      <c r="O109" s="57">
        <f t="shared" si="64"/>
        <v>75.599411674313444</v>
      </c>
      <c r="P109" s="57">
        <f t="shared" si="65"/>
        <v>100</v>
      </c>
    </row>
    <row r="110" spans="1:16" x14ac:dyDescent="0.25">
      <c r="A110" s="278" t="s">
        <v>158</v>
      </c>
      <c r="B110" s="279"/>
      <c r="C110" s="279"/>
      <c r="D110" s="279"/>
      <c r="E110" s="279"/>
      <c r="F110" s="280"/>
      <c r="G110" s="259">
        <f>G111+G114+G124</f>
        <v>211262.34</v>
      </c>
      <c r="H110" s="260"/>
      <c r="I110" s="259">
        <f>I111+I114+I124</f>
        <v>153900</v>
      </c>
      <c r="J110" s="260"/>
      <c r="K110" s="259">
        <f>K111+K114+K124</f>
        <v>63000</v>
      </c>
      <c r="L110" s="260"/>
      <c r="M110" s="259">
        <f>M111+M114+M124</f>
        <v>52495.94</v>
      </c>
      <c r="N110" s="260"/>
      <c r="O110" s="64">
        <f>M110/G110*100</f>
        <v>24.84869759560554</v>
      </c>
      <c r="P110" s="64">
        <f>M110/K110*100</f>
        <v>83.326888888888888</v>
      </c>
    </row>
    <row r="111" spans="1:16" x14ac:dyDescent="0.25">
      <c r="A111" s="237" t="s">
        <v>184</v>
      </c>
      <c r="B111" s="238"/>
      <c r="C111" s="238"/>
      <c r="D111" s="238"/>
      <c r="E111" s="238"/>
      <c r="F111" s="239"/>
      <c r="G111" s="261">
        <f>SUM(G113)</f>
        <v>41621.449999999997</v>
      </c>
      <c r="H111" s="262"/>
      <c r="I111" s="261">
        <f t="shared" ref="I111" si="66">SUM(I113)</f>
        <v>0</v>
      </c>
      <c r="J111" s="262"/>
      <c r="K111" s="261">
        <f t="shared" ref="K111" si="67">SUM(K113)</f>
        <v>0</v>
      </c>
      <c r="L111" s="262"/>
      <c r="M111" s="261">
        <f t="shared" ref="M111" si="68">SUM(M113)</f>
        <v>0</v>
      </c>
      <c r="N111" s="262"/>
      <c r="O111" s="304">
        <f>M111/G111*100</f>
        <v>0</v>
      </c>
      <c r="P111" s="304" t="e">
        <f t="shared" ref="P111:P113" si="69">M111/K111*100</f>
        <v>#DIV/0!</v>
      </c>
    </row>
    <row r="112" spans="1:16" x14ac:dyDescent="0.25">
      <c r="A112" s="237" t="s">
        <v>191</v>
      </c>
      <c r="B112" s="238"/>
      <c r="C112" s="238"/>
      <c r="D112" s="238"/>
      <c r="E112" s="238"/>
      <c r="F112" s="239"/>
      <c r="G112" s="240"/>
      <c r="H112" s="241"/>
      <c r="I112" s="240"/>
      <c r="J112" s="241"/>
      <c r="K112" s="240"/>
      <c r="L112" s="241"/>
      <c r="M112" s="240"/>
      <c r="N112" s="241"/>
      <c r="O112" s="304"/>
      <c r="P112" s="304" t="e">
        <f t="shared" si="69"/>
        <v>#DIV/0!</v>
      </c>
    </row>
    <row r="113" spans="1:16" x14ac:dyDescent="0.25">
      <c r="A113" s="11">
        <v>4227</v>
      </c>
      <c r="B113" s="46" t="s">
        <v>127</v>
      </c>
      <c r="C113" s="46"/>
      <c r="D113" s="46"/>
      <c r="E113" s="46"/>
      <c r="F113" s="45"/>
      <c r="G113" s="246">
        <v>41621.449999999997</v>
      </c>
      <c r="H113" s="247"/>
      <c r="I113" s="246"/>
      <c r="J113" s="247"/>
      <c r="K113" s="246"/>
      <c r="L113" s="247"/>
      <c r="M113" s="246"/>
      <c r="N113" s="247"/>
      <c r="O113" s="63">
        <f t="shared" ref="O113" si="70">M113/G113*100</f>
        <v>0</v>
      </c>
      <c r="P113" s="63" t="e">
        <f t="shared" si="69"/>
        <v>#DIV/0!</v>
      </c>
    </row>
    <row r="114" spans="1:16" x14ac:dyDescent="0.25">
      <c r="A114" s="78" t="s">
        <v>185</v>
      </c>
      <c r="B114" s="79"/>
      <c r="C114" s="79"/>
      <c r="D114" s="79"/>
      <c r="E114" s="79"/>
      <c r="F114" s="80"/>
      <c r="G114" s="240">
        <f>SUM(G117:H123)</f>
        <v>112478.64</v>
      </c>
      <c r="H114" s="241"/>
      <c r="I114" s="240">
        <f>SUM(I117:J123)</f>
        <v>110900</v>
      </c>
      <c r="J114" s="241"/>
      <c r="K114" s="240">
        <f>SUM(K117:L123)</f>
        <v>0</v>
      </c>
      <c r="L114" s="241"/>
      <c r="M114" s="240">
        <f>SUM(M117:N123)</f>
        <v>0</v>
      </c>
      <c r="N114" s="241"/>
      <c r="O114" s="244">
        <f>M114/G114*100</f>
        <v>0</v>
      </c>
      <c r="P114" s="244" t="e">
        <f t="shared" ref="P114:P123" si="71">M114/K114*100</f>
        <v>#DIV/0!</v>
      </c>
    </row>
    <row r="115" spans="1:16" x14ac:dyDescent="0.25">
      <c r="A115" s="78" t="s">
        <v>218</v>
      </c>
      <c r="B115" s="79"/>
      <c r="C115" s="79"/>
      <c r="D115" s="79"/>
      <c r="E115" s="79"/>
      <c r="F115" s="80"/>
      <c r="G115" s="242"/>
      <c r="H115" s="243"/>
      <c r="I115" s="242"/>
      <c r="J115" s="243"/>
      <c r="K115" s="242"/>
      <c r="L115" s="243"/>
      <c r="M115" s="242"/>
      <c r="N115" s="243"/>
      <c r="O115" s="245"/>
      <c r="P115" s="245"/>
    </row>
    <row r="116" spans="1:16" x14ac:dyDescent="0.25">
      <c r="A116" s="237" t="s">
        <v>219</v>
      </c>
      <c r="B116" s="238"/>
      <c r="C116" s="238"/>
      <c r="D116" s="238"/>
      <c r="E116" s="238"/>
      <c r="F116" s="239"/>
      <c r="G116" s="242"/>
      <c r="H116" s="243"/>
      <c r="I116" s="242"/>
      <c r="J116" s="243"/>
      <c r="K116" s="242"/>
      <c r="L116" s="243"/>
      <c r="M116" s="242"/>
      <c r="N116" s="243"/>
      <c r="O116" s="245"/>
      <c r="P116" s="245"/>
    </row>
    <row r="117" spans="1:16" x14ac:dyDescent="0.25">
      <c r="A117" s="11">
        <v>3111</v>
      </c>
      <c r="B117" s="46" t="s">
        <v>186</v>
      </c>
      <c r="C117" s="46"/>
      <c r="D117" s="46"/>
      <c r="E117" s="46"/>
      <c r="F117" s="45" t="s">
        <v>187</v>
      </c>
      <c r="G117" s="246">
        <v>92086.36</v>
      </c>
      <c r="H117" s="247"/>
      <c r="I117" s="246"/>
      <c r="J117" s="247"/>
      <c r="K117" s="246"/>
      <c r="L117" s="247"/>
      <c r="M117" s="246"/>
      <c r="N117" s="247"/>
      <c r="O117" s="63">
        <f t="shared" ref="O117:O123" si="72">M117/G117*100</f>
        <v>0</v>
      </c>
      <c r="P117" s="63" t="e">
        <f t="shared" si="71"/>
        <v>#DIV/0!</v>
      </c>
    </row>
    <row r="118" spans="1:16" x14ac:dyDescent="0.25">
      <c r="A118" s="12">
        <v>3111</v>
      </c>
      <c r="B118" s="4" t="s">
        <v>186</v>
      </c>
      <c r="C118" s="4"/>
      <c r="D118" s="4"/>
      <c r="E118" s="4"/>
      <c r="F118" s="13" t="s">
        <v>192</v>
      </c>
      <c r="G118" s="96"/>
      <c r="H118" s="97"/>
      <c r="I118" s="96">
        <v>92000</v>
      </c>
      <c r="J118" s="97"/>
      <c r="K118" s="96"/>
      <c r="L118" s="97"/>
      <c r="M118" s="96"/>
      <c r="N118" s="97"/>
      <c r="O118" s="77" t="e">
        <f t="shared" si="72"/>
        <v>#DIV/0!</v>
      </c>
      <c r="P118" s="77" t="e">
        <f t="shared" si="71"/>
        <v>#DIV/0!</v>
      </c>
    </row>
    <row r="119" spans="1:16" x14ac:dyDescent="0.25">
      <c r="A119" s="12">
        <v>3132</v>
      </c>
      <c r="B119" s="4" t="s">
        <v>189</v>
      </c>
      <c r="C119" s="4"/>
      <c r="D119" s="4"/>
      <c r="E119" s="4"/>
      <c r="F119" s="13" t="s">
        <v>187</v>
      </c>
      <c r="G119" s="96">
        <v>15892.28</v>
      </c>
      <c r="H119" s="97"/>
      <c r="I119" s="96"/>
      <c r="J119" s="97"/>
      <c r="K119" s="96"/>
      <c r="L119" s="97"/>
      <c r="M119" s="96"/>
      <c r="N119" s="97"/>
      <c r="O119" s="57">
        <f t="shared" si="72"/>
        <v>0</v>
      </c>
      <c r="P119" s="57" t="e">
        <f t="shared" si="71"/>
        <v>#DIV/0!</v>
      </c>
    </row>
    <row r="120" spans="1:16" x14ac:dyDescent="0.25">
      <c r="A120" s="12">
        <v>3133</v>
      </c>
      <c r="B120" s="4" t="s">
        <v>189</v>
      </c>
      <c r="C120" s="4"/>
      <c r="D120" s="4"/>
      <c r="E120" s="4"/>
      <c r="F120" s="13" t="s">
        <v>192</v>
      </c>
      <c r="G120" s="96"/>
      <c r="H120" s="97"/>
      <c r="I120" s="96">
        <v>15900</v>
      </c>
      <c r="J120" s="97"/>
      <c r="K120" s="96"/>
      <c r="L120" s="97"/>
      <c r="M120" s="96"/>
      <c r="N120" s="97"/>
      <c r="O120" s="57" t="e">
        <f t="shared" ref="O120" si="73">M120/G120*100</f>
        <v>#DIV/0!</v>
      </c>
      <c r="P120" s="57" t="e">
        <f t="shared" ref="P120" si="74">M120/K120*100</f>
        <v>#DIV/0!</v>
      </c>
    </row>
    <row r="121" spans="1:16" x14ac:dyDescent="0.25">
      <c r="A121" s="12">
        <v>3212</v>
      </c>
      <c r="B121" s="4" t="s">
        <v>190</v>
      </c>
      <c r="C121" s="4"/>
      <c r="D121" s="4"/>
      <c r="E121" s="4"/>
      <c r="F121" s="13" t="s">
        <v>187</v>
      </c>
      <c r="G121" s="96">
        <v>3000</v>
      </c>
      <c r="H121" s="97"/>
      <c r="I121" s="96"/>
      <c r="J121" s="97"/>
      <c r="K121" s="96"/>
      <c r="L121" s="97"/>
      <c r="M121" s="96"/>
      <c r="N121" s="97"/>
      <c r="O121" s="57">
        <f t="shared" si="72"/>
        <v>0</v>
      </c>
      <c r="P121" s="57" t="e">
        <f t="shared" si="71"/>
        <v>#DIV/0!</v>
      </c>
    </row>
    <row r="122" spans="1:16" x14ac:dyDescent="0.25">
      <c r="A122" s="12">
        <v>3213</v>
      </c>
      <c r="B122" s="4" t="s">
        <v>190</v>
      </c>
      <c r="C122" s="4"/>
      <c r="D122" s="4"/>
      <c r="E122" s="4"/>
      <c r="F122" s="13" t="s">
        <v>192</v>
      </c>
      <c r="G122" s="96"/>
      <c r="H122" s="97"/>
      <c r="I122" s="96">
        <v>3000</v>
      </c>
      <c r="J122" s="97"/>
      <c r="K122" s="96"/>
      <c r="L122" s="97"/>
      <c r="M122" s="96"/>
      <c r="N122" s="97"/>
      <c r="O122" s="57" t="e">
        <f t="shared" ref="O122" si="75">M122/G122*100</f>
        <v>#DIV/0!</v>
      </c>
      <c r="P122" s="57" t="e">
        <f t="shared" ref="P122" si="76">M122/K122*100</f>
        <v>#DIV/0!</v>
      </c>
    </row>
    <row r="123" spans="1:16" x14ac:dyDescent="0.25">
      <c r="A123" s="12">
        <v>3121</v>
      </c>
      <c r="B123" s="4" t="s">
        <v>66</v>
      </c>
      <c r="C123" s="4"/>
      <c r="D123" s="4"/>
      <c r="E123" s="4"/>
      <c r="F123" s="13" t="s">
        <v>188</v>
      </c>
      <c r="G123" s="96">
        <v>1500</v>
      </c>
      <c r="H123" s="97"/>
      <c r="I123" s="96"/>
      <c r="J123" s="97"/>
      <c r="K123" s="96"/>
      <c r="L123" s="97"/>
      <c r="M123" s="96"/>
      <c r="N123" s="97"/>
      <c r="O123" s="57">
        <f t="shared" si="72"/>
        <v>0</v>
      </c>
      <c r="P123" s="57" t="e">
        <f t="shared" si="71"/>
        <v>#DIV/0!</v>
      </c>
    </row>
    <row r="124" spans="1:16" x14ac:dyDescent="0.25">
      <c r="A124" s="237" t="s">
        <v>163</v>
      </c>
      <c r="B124" s="238"/>
      <c r="C124" s="238"/>
      <c r="D124" s="238"/>
      <c r="E124" s="238"/>
      <c r="F124" s="239"/>
      <c r="G124" s="261">
        <f>SUM(G126:H128)</f>
        <v>57162.25</v>
      </c>
      <c r="H124" s="262"/>
      <c r="I124" s="261">
        <f t="shared" ref="I124:K124" si="77">SUM(I126:J128)</f>
        <v>43000</v>
      </c>
      <c r="J124" s="262"/>
      <c r="K124" s="261">
        <f t="shared" si="77"/>
        <v>63000</v>
      </c>
      <c r="L124" s="262"/>
      <c r="M124" s="261">
        <f>SUM(M126:N128)</f>
        <v>52495.94</v>
      </c>
      <c r="N124" s="262"/>
      <c r="O124" s="303">
        <f>M124/G124*100</f>
        <v>91.836727910465385</v>
      </c>
      <c r="P124" s="303">
        <f t="shared" ref="P124:P125" si="78">M124/K124*100</f>
        <v>83.326888888888888</v>
      </c>
    </row>
    <row r="125" spans="1:16" x14ac:dyDescent="0.25">
      <c r="A125" s="237" t="s">
        <v>149</v>
      </c>
      <c r="B125" s="238"/>
      <c r="C125" s="238"/>
      <c r="D125" s="238"/>
      <c r="E125" s="238"/>
      <c r="F125" s="239"/>
      <c r="G125" s="240"/>
      <c r="H125" s="241"/>
      <c r="I125" s="240"/>
      <c r="J125" s="241"/>
      <c r="K125" s="240"/>
      <c r="L125" s="241"/>
      <c r="M125" s="240"/>
      <c r="N125" s="241"/>
      <c r="O125" s="304"/>
      <c r="P125" s="304" t="e">
        <f t="shared" si="78"/>
        <v>#DIV/0!</v>
      </c>
    </row>
    <row r="126" spans="1:16" x14ac:dyDescent="0.25">
      <c r="A126" s="29">
        <v>3211</v>
      </c>
      <c r="B126" s="3" t="s">
        <v>71</v>
      </c>
      <c r="C126" s="3"/>
      <c r="D126" s="3"/>
      <c r="E126" s="3"/>
      <c r="F126" s="30"/>
      <c r="G126" s="246">
        <v>44486.65</v>
      </c>
      <c r="H126" s="247"/>
      <c r="I126" s="246">
        <v>20000</v>
      </c>
      <c r="J126" s="247"/>
      <c r="K126" s="246">
        <v>40000</v>
      </c>
      <c r="L126" s="247"/>
      <c r="M126" s="246">
        <v>37459.4</v>
      </c>
      <c r="N126" s="247"/>
      <c r="O126" s="63">
        <f>M126/G126*100</f>
        <v>84.203688072713945</v>
      </c>
      <c r="P126" s="63">
        <f>M126/K126*100</f>
        <v>93.648499999999999</v>
      </c>
    </row>
    <row r="127" spans="1:16" x14ac:dyDescent="0.25">
      <c r="A127" s="12">
        <v>3213</v>
      </c>
      <c r="B127" s="4" t="s">
        <v>73</v>
      </c>
      <c r="C127" s="4"/>
      <c r="D127" s="4"/>
      <c r="E127" s="4"/>
      <c r="F127" s="13"/>
      <c r="G127" s="96">
        <v>12675.6</v>
      </c>
      <c r="H127" s="97"/>
      <c r="I127" s="96">
        <v>20000</v>
      </c>
      <c r="J127" s="97"/>
      <c r="K127" s="96">
        <v>20000</v>
      </c>
      <c r="L127" s="97"/>
      <c r="M127" s="96">
        <v>12734.4</v>
      </c>
      <c r="N127" s="97"/>
      <c r="O127" s="57">
        <f t="shared" ref="O127:O128" si="79">M127/G127*100</f>
        <v>100.46388336646785</v>
      </c>
      <c r="P127" s="57">
        <f t="shared" ref="P127:P128" si="80">M127/K127*100</f>
        <v>63.671999999999997</v>
      </c>
    </row>
    <row r="128" spans="1:16" x14ac:dyDescent="0.25">
      <c r="A128" s="29">
        <v>3299</v>
      </c>
      <c r="B128" s="3" t="s">
        <v>88</v>
      </c>
      <c r="C128" s="3"/>
      <c r="D128" s="3"/>
      <c r="E128" s="3"/>
      <c r="F128" s="30"/>
      <c r="G128" s="266"/>
      <c r="H128" s="267"/>
      <c r="I128" s="266">
        <v>3000</v>
      </c>
      <c r="J128" s="267"/>
      <c r="K128" s="266">
        <v>3000</v>
      </c>
      <c r="L128" s="267"/>
      <c r="M128" s="266">
        <v>2302.14</v>
      </c>
      <c r="N128" s="267"/>
      <c r="O128" s="57" t="e">
        <f t="shared" si="79"/>
        <v>#DIV/0!</v>
      </c>
      <c r="P128" s="57">
        <f t="shared" si="80"/>
        <v>76.738</v>
      </c>
    </row>
    <row r="129" spans="1:16" x14ac:dyDescent="0.25">
      <c r="A129" s="278" t="s">
        <v>159</v>
      </c>
      <c r="B129" s="279"/>
      <c r="C129" s="279"/>
      <c r="D129" s="279"/>
      <c r="E129" s="279"/>
      <c r="F129" s="280"/>
      <c r="G129" s="259">
        <f>G130+G142</f>
        <v>8034.24</v>
      </c>
      <c r="H129" s="260"/>
      <c r="I129" s="259">
        <f t="shared" ref="I129:K129" si="81">I130+I142</f>
        <v>0</v>
      </c>
      <c r="J129" s="260"/>
      <c r="K129" s="259">
        <f t="shared" si="81"/>
        <v>67403.3</v>
      </c>
      <c r="L129" s="260"/>
      <c r="M129" s="259">
        <f t="shared" ref="M129" si="82">M130+M142</f>
        <v>113865.29</v>
      </c>
      <c r="N129" s="260"/>
      <c r="O129" s="64">
        <f t="shared" ref="O129" si="83">M129/G129*100</f>
        <v>1417.2502937427807</v>
      </c>
      <c r="P129" s="64">
        <f t="shared" ref="P129" si="84">M129/K129*100</f>
        <v>168.93132828808083</v>
      </c>
    </row>
    <row r="130" spans="1:16" x14ac:dyDescent="0.25">
      <c r="A130" s="300" t="s">
        <v>160</v>
      </c>
      <c r="B130" s="301"/>
      <c r="C130" s="301"/>
      <c r="D130" s="301"/>
      <c r="E130" s="301"/>
      <c r="F130" s="302"/>
      <c r="G130" s="242">
        <f>SUM(G134:H141)</f>
        <v>8034.24</v>
      </c>
      <c r="H130" s="243"/>
      <c r="I130" s="242">
        <f>SUM(I134:J141)</f>
        <v>0</v>
      </c>
      <c r="J130" s="243"/>
      <c r="K130" s="242">
        <f>SUM(K134:L141)</f>
        <v>67403.3</v>
      </c>
      <c r="L130" s="243"/>
      <c r="M130" s="242">
        <f>SUM(M134:N141)</f>
        <v>59556.789999999994</v>
      </c>
      <c r="N130" s="243"/>
      <c r="O130" s="304">
        <f>M130/G130*100</f>
        <v>741.28716592982028</v>
      </c>
      <c r="P130" s="304">
        <f>M130/K130*100</f>
        <v>88.358863735158351</v>
      </c>
    </row>
    <row r="131" spans="1:16" ht="15" customHeight="1" x14ac:dyDescent="0.25">
      <c r="A131" s="294" t="s">
        <v>206</v>
      </c>
      <c r="B131" s="295"/>
      <c r="C131" s="295"/>
      <c r="D131" s="295"/>
      <c r="E131" s="295"/>
      <c r="F131" s="296"/>
      <c r="G131" s="242"/>
      <c r="H131" s="243"/>
      <c r="I131" s="242"/>
      <c r="J131" s="243"/>
      <c r="K131" s="242"/>
      <c r="L131" s="243"/>
      <c r="M131" s="242"/>
      <c r="N131" s="243"/>
      <c r="O131" s="304"/>
      <c r="P131" s="304"/>
    </row>
    <row r="132" spans="1:16" ht="15" customHeight="1" x14ac:dyDescent="0.25">
      <c r="A132" s="234" t="s">
        <v>216</v>
      </c>
      <c r="B132" s="235"/>
      <c r="C132" s="235"/>
      <c r="D132" s="235"/>
      <c r="E132" s="235"/>
      <c r="F132" s="236"/>
      <c r="G132" s="242"/>
      <c r="H132" s="243"/>
      <c r="I132" s="242"/>
      <c r="J132" s="243"/>
      <c r="K132" s="242"/>
      <c r="L132" s="243"/>
      <c r="M132" s="242"/>
      <c r="N132" s="243"/>
      <c r="O132" s="304"/>
      <c r="P132" s="304"/>
    </row>
    <row r="133" spans="1:16" x14ac:dyDescent="0.25">
      <c r="A133" s="78" t="s">
        <v>217</v>
      </c>
      <c r="B133" s="79"/>
      <c r="C133" s="79"/>
      <c r="D133" s="79"/>
      <c r="E133" s="79"/>
      <c r="F133" s="80"/>
      <c r="G133" s="242"/>
      <c r="H133" s="243"/>
      <c r="I133" s="242"/>
      <c r="J133" s="243"/>
      <c r="K133" s="242"/>
      <c r="L133" s="243"/>
      <c r="M133" s="242"/>
      <c r="N133" s="243"/>
      <c r="O133" s="304"/>
      <c r="P133" s="304"/>
    </row>
    <row r="134" spans="1:16" x14ac:dyDescent="0.25">
      <c r="A134" s="11">
        <v>3111</v>
      </c>
      <c r="B134" s="46" t="s">
        <v>65</v>
      </c>
      <c r="C134" s="46"/>
      <c r="D134" s="46"/>
      <c r="E134" s="46"/>
      <c r="F134" s="45" t="s">
        <v>192</v>
      </c>
      <c r="G134" s="246">
        <v>2493.75</v>
      </c>
      <c r="H134" s="247"/>
      <c r="I134" s="246"/>
      <c r="J134" s="247"/>
      <c r="K134" s="246">
        <f>7125+10500</f>
        <v>17625</v>
      </c>
      <c r="L134" s="247"/>
      <c r="M134" s="246">
        <f>7125+10500</f>
        <v>17625</v>
      </c>
      <c r="N134" s="247"/>
      <c r="O134" s="63">
        <f>M134/G134*100</f>
        <v>706.76691729323306</v>
      </c>
      <c r="P134" s="63">
        <f>M134/K134*100</f>
        <v>100</v>
      </c>
    </row>
    <row r="135" spans="1:16" x14ac:dyDescent="0.25">
      <c r="A135" s="11">
        <v>3111</v>
      </c>
      <c r="B135" s="46" t="s">
        <v>65</v>
      </c>
      <c r="C135" s="46"/>
      <c r="D135" s="46"/>
      <c r="E135" s="46"/>
      <c r="F135" s="45" t="s">
        <v>188</v>
      </c>
      <c r="G135" s="246"/>
      <c r="H135" s="247"/>
      <c r="I135" s="246"/>
      <c r="J135" s="247"/>
      <c r="K135" s="246">
        <v>2612.5</v>
      </c>
      <c r="L135" s="247"/>
      <c r="M135" s="246">
        <v>2612.5</v>
      </c>
      <c r="N135" s="247"/>
      <c r="O135" s="57" t="e">
        <f t="shared" ref="O135" si="85">M135/G135*100</f>
        <v>#DIV/0!</v>
      </c>
      <c r="P135" s="57">
        <f t="shared" ref="P135" si="86">M135/K135*100</f>
        <v>100</v>
      </c>
    </row>
    <row r="136" spans="1:16" x14ac:dyDescent="0.25">
      <c r="A136" s="12">
        <v>3111</v>
      </c>
      <c r="B136" s="4" t="s">
        <v>65</v>
      </c>
      <c r="C136" s="4"/>
      <c r="D136" s="4"/>
      <c r="E136" s="4"/>
      <c r="F136" s="13" t="s">
        <v>193</v>
      </c>
      <c r="G136" s="246">
        <v>4085</v>
      </c>
      <c r="H136" s="247"/>
      <c r="I136" s="246"/>
      <c r="J136" s="247"/>
      <c r="K136" s="246">
        <v>25106.25</v>
      </c>
      <c r="L136" s="247"/>
      <c r="M136" s="246">
        <v>20475</v>
      </c>
      <c r="N136" s="247"/>
      <c r="O136" s="57">
        <f t="shared" ref="O136" si="87">M136/G136*100</f>
        <v>501.22399020807836</v>
      </c>
      <c r="P136" s="57">
        <f t="shared" ref="P136" si="88">M136/K136*100</f>
        <v>81.553398058252426</v>
      </c>
    </row>
    <row r="137" spans="1:16" x14ac:dyDescent="0.25">
      <c r="A137" s="12">
        <v>3121</v>
      </c>
      <c r="B137" s="4" t="s">
        <v>66</v>
      </c>
      <c r="C137" s="4"/>
      <c r="D137" s="4"/>
      <c r="E137" s="4"/>
      <c r="F137" s="13" t="s">
        <v>192</v>
      </c>
      <c r="G137" s="96"/>
      <c r="H137" s="97"/>
      <c r="I137" s="96"/>
      <c r="J137" s="97"/>
      <c r="K137" s="96">
        <v>7200</v>
      </c>
      <c r="L137" s="97"/>
      <c r="M137" s="96">
        <v>7200</v>
      </c>
      <c r="N137" s="97"/>
      <c r="O137" s="57" t="e">
        <f t="shared" ref="O137:O141" si="89">M137/G137*100</f>
        <v>#DIV/0!</v>
      </c>
      <c r="P137" s="57">
        <f t="shared" ref="P137:P143" si="90">M137/K137*100</f>
        <v>100</v>
      </c>
    </row>
    <row r="138" spans="1:16" x14ac:dyDescent="0.25">
      <c r="A138" s="12">
        <v>3132</v>
      </c>
      <c r="B138" s="4" t="s">
        <v>67</v>
      </c>
      <c r="C138" s="4"/>
      <c r="D138" s="4"/>
      <c r="E138" s="4"/>
      <c r="F138" s="13" t="s">
        <v>192</v>
      </c>
      <c r="G138" s="96">
        <v>783.75</v>
      </c>
      <c r="H138" s="97"/>
      <c r="I138" s="96"/>
      <c r="J138" s="97"/>
      <c r="K138" s="96">
        <f>1175.63+1732.52</f>
        <v>2908.15</v>
      </c>
      <c r="L138" s="97"/>
      <c r="M138" s="96">
        <f>1175.63+1732.52</f>
        <v>2908.15</v>
      </c>
      <c r="N138" s="97"/>
      <c r="O138" s="57">
        <f t="shared" si="89"/>
        <v>371.05582137161088</v>
      </c>
      <c r="P138" s="57">
        <f t="shared" si="90"/>
        <v>100</v>
      </c>
    </row>
    <row r="139" spans="1:16" x14ac:dyDescent="0.25">
      <c r="A139" s="12">
        <v>3132</v>
      </c>
      <c r="B139" s="4" t="s">
        <v>207</v>
      </c>
      <c r="C139" s="4"/>
      <c r="D139" s="4"/>
      <c r="E139" s="4"/>
      <c r="F139" s="13" t="s">
        <v>188</v>
      </c>
      <c r="G139" s="96"/>
      <c r="H139" s="97"/>
      <c r="I139" s="96"/>
      <c r="J139" s="97"/>
      <c r="K139" s="96">
        <v>431.06</v>
      </c>
      <c r="L139" s="97"/>
      <c r="M139" s="96">
        <v>431.06</v>
      </c>
      <c r="N139" s="97"/>
      <c r="O139" s="57" t="e">
        <f t="shared" ref="O139" si="91">M139/G139*100</f>
        <v>#DIV/0!</v>
      </c>
      <c r="P139" s="57">
        <f t="shared" ref="P139" si="92">M139/K139*100</f>
        <v>100</v>
      </c>
    </row>
    <row r="140" spans="1:16" x14ac:dyDescent="0.25">
      <c r="A140" s="12">
        <v>3132</v>
      </c>
      <c r="B140" s="4" t="s">
        <v>67</v>
      </c>
      <c r="C140" s="4"/>
      <c r="D140" s="4"/>
      <c r="E140" s="4"/>
      <c r="F140" s="13" t="s">
        <v>193</v>
      </c>
      <c r="G140" s="96">
        <v>301.74</v>
      </c>
      <c r="H140" s="97"/>
      <c r="I140" s="96"/>
      <c r="J140" s="97"/>
      <c r="K140" s="96">
        <f>4142.54</f>
        <v>4142.54</v>
      </c>
      <c r="L140" s="97"/>
      <c r="M140" s="96">
        <v>3378.38</v>
      </c>
      <c r="N140" s="97"/>
      <c r="O140" s="57">
        <f t="shared" ref="O140" si="93">M140/G140*100</f>
        <v>1119.6327964472723</v>
      </c>
      <c r="P140" s="57">
        <f t="shared" ref="P140" si="94">M140/K140*100</f>
        <v>81.553346497559474</v>
      </c>
    </row>
    <row r="141" spans="1:16" x14ac:dyDescent="0.25">
      <c r="A141" s="29">
        <v>3212</v>
      </c>
      <c r="B141" s="36" t="s">
        <v>161</v>
      </c>
      <c r="C141" s="3"/>
      <c r="D141" s="3"/>
      <c r="E141" s="3"/>
      <c r="F141" s="30" t="s">
        <v>194</v>
      </c>
      <c r="G141" s="266">
        <v>370</v>
      </c>
      <c r="H141" s="267"/>
      <c r="I141" s="266"/>
      <c r="J141" s="267"/>
      <c r="K141" s="266">
        <v>7377.8</v>
      </c>
      <c r="L141" s="267"/>
      <c r="M141" s="266">
        <v>4926.7</v>
      </c>
      <c r="N141" s="267"/>
      <c r="O141" s="57">
        <f t="shared" si="89"/>
        <v>1331.5405405405406</v>
      </c>
      <c r="P141" s="57">
        <f t="shared" si="90"/>
        <v>66.777359104340036</v>
      </c>
    </row>
    <row r="142" spans="1:16" x14ac:dyDescent="0.25">
      <c r="A142" s="291" t="s">
        <v>162</v>
      </c>
      <c r="B142" s="292"/>
      <c r="C142" s="292"/>
      <c r="D142" s="292"/>
      <c r="E142" s="292"/>
      <c r="F142" s="293"/>
      <c r="G142" s="270">
        <f>SUM(G144:H145)</f>
        <v>0</v>
      </c>
      <c r="H142" s="271"/>
      <c r="I142" s="270">
        <f>SUM(I144:J145)</f>
        <v>0</v>
      </c>
      <c r="J142" s="271"/>
      <c r="K142" s="270">
        <f>SUM(K144:L145)</f>
        <v>0</v>
      </c>
      <c r="L142" s="271"/>
      <c r="M142" s="270">
        <f>SUM(M144:N145)</f>
        <v>54308.5</v>
      </c>
      <c r="N142" s="271"/>
      <c r="O142" s="303" t="e">
        <f>M142/G142*100</f>
        <v>#DIV/0!</v>
      </c>
      <c r="P142" s="303" t="e">
        <f t="shared" si="90"/>
        <v>#DIV/0!</v>
      </c>
    </row>
    <row r="143" spans="1:16" x14ac:dyDescent="0.25">
      <c r="A143" s="294" t="s">
        <v>164</v>
      </c>
      <c r="B143" s="295"/>
      <c r="C143" s="295"/>
      <c r="D143" s="295"/>
      <c r="E143" s="295"/>
      <c r="F143" s="296"/>
      <c r="G143" s="240"/>
      <c r="H143" s="241"/>
      <c r="I143" s="240"/>
      <c r="J143" s="241"/>
      <c r="K143" s="240"/>
      <c r="L143" s="241"/>
      <c r="M143" s="240"/>
      <c r="N143" s="241"/>
      <c r="O143" s="304"/>
      <c r="P143" s="304" t="e">
        <f t="shared" si="90"/>
        <v>#DIV/0!</v>
      </c>
    </row>
    <row r="144" spans="1:16" x14ac:dyDescent="0.25">
      <c r="A144" s="11">
        <v>3211</v>
      </c>
      <c r="B144" s="48" t="s">
        <v>71</v>
      </c>
      <c r="C144" s="49"/>
      <c r="D144" s="49"/>
      <c r="E144" s="49"/>
      <c r="F144" s="50"/>
      <c r="G144" s="246"/>
      <c r="H144" s="247"/>
      <c r="I144" s="246"/>
      <c r="J144" s="247"/>
      <c r="K144" s="246"/>
      <c r="L144" s="247"/>
      <c r="M144" s="246">
        <v>19379.86</v>
      </c>
      <c r="N144" s="247"/>
      <c r="O144" s="63" t="e">
        <f>M144/G144*100</f>
        <v>#DIV/0!</v>
      </c>
      <c r="P144" s="63" t="e">
        <f>M144/K144*100</f>
        <v>#DIV/0!</v>
      </c>
    </row>
    <row r="145" spans="1:16" ht="15.75" thickBot="1" x14ac:dyDescent="0.3">
      <c r="A145" s="51">
        <v>3213</v>
      </c>
      <c r="B145" s="52" t="s">
        <v>165</v>
      </c>
      <c r="C145" s="53"/>
      <c r="D145" s="53"/>
      <c r="E145" s="53"/>
      <c r="F145" s="54"/>
      <c r="G145" s="257"/>
      <c r="H145" s="258"/>
      <c r="I145" s="257"/>
      <c r="J145" s="258"/>
      <c r="K145" s="257"/>
      <c r="L145" s="258"/>
      <c r="M145" s="257">
        <v>34928.639999999999</v>
      </c>
      <c r="N145" s="258"/>
      <c r="O145" s="58" t="e">
        <f>M145/G145*100</f>
        <v>#DIV/0!</v>
      </c>
      <c r="P145" s="58" t="e">
        <f>M145/K145*100</f>
        <v>#DIV/0!</v>
      </c>
    </row>
    <row r="146" spans="1:16" ht="15.75" thickBot="1" x14ac:dyDescent="0.3"/>
    <row r="147" spans="1:16" x14ac:dyDescent="0.25">
      <c r="A147" s="248" t="s">
        <v>214</v>
      </c>
      <c r="B147" s="249"/>
      <c r="C147" s="249"/>
      <c r="D147" s="249"/>
      <c r="E147" s="249"/>
      <c r="F147" s="250"/>
      <c r="G147" s="251">
        <f t="shared" ref="G147" si="95">G148</f>
        <v>0</v>
      </c>
      <c r="H147" s="252"/>
      <c r="I147" s="251">
        <f t="shared" ref="I147" si="96">I148</f>
        <v>0</v>
      </c>
      <c r="J147" s="252"/>
      <c r="K147" s="251">
        <f t="shared" ref="K147" si="97">K148</f>
        <v>0</v>
      </c>
      <c r="L147" s="252"/>
      <c r="M147" s="251">
        <f>M148</f>
        <v>5506.05</v>
      </c>
      <c r="N147" s="252"/>
      <c r="O147" s="76" t="e">
        <f t="shared" ref="O147" si="98">M147/G147*100</f>
        <v>#DIV/0!</v>
      </c>
      <c r="P147" s="76" t="e">
        <f t="shared" ref="P147" si="99">M147/K147*100</f>
        <v>#DIV/0!</v>
      </c>
    </row>
    <row r="148" spans="1:16" ht="15.75" thickBot="1" x14ac:dyDescent="0.3">
      <c r="A148" s="72">
        <v>3299</v>
      </c>
      <c r="B148" s="73" t="s">
        <v>88</v>
      </c>
      <c r="C148" s="73"/>
      <c r="D148" s="73"/>
      <c r="E148" s="73"/>
      <c r="F148" s="74" t="s">
        <v>187</v>
      </c>
      <c r="G148" s="253"/>
      <c r="H148" s="254"/>
      <c r="I148" s="253"/>
      <c r="J148" s="254"/>
      <c r="K148" s="253"/>
      <c r="L148" s="254"/>
      <c r="M148" s="255">
        <v>5506.05</v>
      </c>
      <c r="N148" s="256"/>
      <c r="O148" s="75" t="e">
        <f>M148/G148*100</f>
        <v>#DIV/0!</v>
      </c>
      <c r="P148" s="75" t="e">
        <f>M148/K148*100</f>
        <v>#DIV/0!</v>
      </c>
    </row>
  </sheetData>
  <customSheetViews>
    <customSheetView guid="{005C429F-8448-44DF-83AD-8A930973E873}" topLeftCell="A22">
      <selection activeCell="G131" sqref="G131:H131"/>
      <rowBreaks count="1" manualBreakCount="1">
        <brk id="54" max="16383" man="1"/>
      </rowBreaks>
      <pageMargins left="0.7" right="0.7" top="0.75" bottom="0.75" header="0.3" footer="0.3"/>
      <pageSetup paperSize="9" scale="63" orientation="portrait" r:id="rId1"/>
    </customSheetView>
  </customSheetViews>
  <mergeCells count="564">
    <mergeCell ref="O58:O59"/>
    <mergeCell ref="P58:P59"/>
    <mergeCell ref="G60:H60"/>
    <mergeCell ref="I60:J60"/>
    <mergeCell ref="K60:L60"/>
    <mergeCell ref="M60:N60"/>
    <mergeCell ref="A58:F59"/>
    <mergeCell ref="I140:J140"/>
    <mergeCell ref="I141:J141"/>
    <mergeCell ref="I142:J143"/>
    <mergeCell ref="I144:J144"/>
    <mergeCell ref="I145:J145"/>
    <mergeCell ref="I127:J127"/>
    <mergeCell ref="I128:J128"/>
    <mergeCell ref="I129:J129"/>
    <mergeCell ref="I130:J133"/>
    <mergeCell ref="I134:J134"/>
    <mergeCell ref="I135:J135"/>
    <mergeCell ref="I136:J136"/>
    <mergeCell ref="I137:J137"/>
    <mergeCell ref="I138:J138"/>
    <mergeCell ref="I79:J79"/>
    <mergeCell ref="I80:J80"/>
    <mergeCell ref="I81:J81"/>
    <mergeCell ref="I82:J82"/>
    <mergeCell ref="I83:J83"/>
    <mergeCell ref="I84:J84"/>
    <mergeCell ref="I85:J85"/>
    <mergeCell ref="I86:J86"/>
    <mergeCell ref="I139:J139"/>
    <mergeCell ref="I117:J117"/>
    <mergeCell ref="I119:J119"/>
    <mergeCell ref="I121:J121"/>
    <mergeCell ref="I123:J123"/>
    <mergeCell ref="I108:J108"/>
    <mergeCell ref="I109:J109"/>
    <mergeCell ref="I110:J110"/>
    <mergeCell ref="I111:J112"/>
    <mergeCell ref="I113:J113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48:J49"/>
    <mergeCell ref="I50:J50"/>
    <mergeCell ref="I51:J51"/>
    <mergeCell ref="I52:J52"/>
    <mergeCell ref="I53:J53"/>
    <mergeCell ref="I54:J54"/>
    <mergeCell ref="I55:J56"/>
    <mergeCell ref="I57:J57"/>
    <mergeCell ref="I58:J59"/>
    <mergeCell ref="I37:J37"/>
    <mergeCell ref="I38:J38"/>
    <mergeCell ref="I39:J39"/>
    <mergeCell ref="I40:J40"/>
    <mergeCell ref="I41:J41"/>
    <mergeCell ref="I42:J43"/>
    <mergeCell ref="I44:J44"/>
    <mergeCell ref="I45:J46"/>
    <mergeCell ref="I47:J4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123:H123"/>
    <mergeCell ref="I7:J8"/>
    <mergeCell ref="I9:J9"/>
    <mergeCell ref="I10:J10"/>
    <mergeCell ref="I11:J11"/>
    <mergeCell ref="I12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103:J103"/>
    <mergeCell ref="I104:J105"/>
    <mergeCell ref="I106:J106"/>
    <mergeCell ref="I107:J107"/>
    <mergeCell ref="A100:F100"/>
    <mergeCell ref="G100:H101"/>
    <mergeCell ref="K100:L101"/>
    <mergeCell ref="M100:N101"/>
    <mergeCell ref="A101:F101"/>
    <mergeCell ref="I87:J87"/>
    <mergeCell ref="I88:J88"/>
    <mergeCell ref="I89:J89"/>
    <mergeCell ref="I90:J90"/>
    <mergeCell ref="I91:J91"/>
    <mergeCell ref="I92:J92"/>
    <mergeCell ref="I93:J93"/>
    <mergeCell ref="I94:J95"/>
    <mergeCell ref="I96:J96"/>
    <mergeCell ref="I97:J98"/>
    <mergeCell ref="I99:J99"/>
    <mergeCell ref="I100:J101"/>
    <mergeCell ref="K90:L90"/>
    <mergeCell ref="K91:L91"/>
    <mergeCell ref="K92:L92"/>
    <mergeCell ref="K93:L93"/>
    <mergeCell ref="O142:O143"/>
    <mergeCell ref="P142:P143"/>
    <mergeCell ref="M141:N141"/>
    <mergeCell ref="M142:N143"/>
    <mergeCell ref="K141:L141"/>
    <mergeCell ref="K142:L143"/>
    <mergeCell ref="O130:O133"/>
    <mergeCell ref="P130:P133"/>
    <mergeCell ref="G85:H85"/>
    <mergeCell ref="K85:L85"/>
    <mergeCell ref="M85:N85"/>
    <mergeCell ref="G87:H87"/>
    <mergeCell ref="K87:L87"/>
    <mergeCell ref="M87:N87"/>
    <mergeCell ref="G102:H102"/>
    <mergeCell ref="K102:L102"/>
    <mergeCell ref="M102:N102"/>
    <mergeCell ref="G119:H119"/>
    <mergeCell ref="K119:L119"/>
    <mergeCell ref="M119:N119"/>
    <mergeCell ref="G135:H135"/>
    <mergeCell ref="K135:L135"/>
    <mergeCell ref="M135:N135"/>
    <mergeCell ref="I102:J102"/>
    <mergeCell ref="G130:H133"/>
    <mergeCell ref="K130:L133"/>
    <mergeCell ref="G136:H136"/>
    <mergeCell ref="K136:L136"/>
    <mergeCell ref="M136:N136"/>
    <mergeCell ref="G139:H139"/>
    <mergeCell ref="K139:L139"/>
    <mergeCell ref="M139:N139"/>
    <mergeCell ref="I124:J125"/>
    <mergeCell ref="I126:J126"/>
    <mergeCell ref="M126:N126"/>
    <mergeCell ref="M127:N127"/>
    <mergeCell ref="M128:N128"/>
    <mergeCell ref="M130:N133"/>
    <mergeCell ref="M140:N140"/>
    <mergeCell ref="O12:O13"/>
    <mergeCell ref="P12:P13"/>
    <mergeCell ref="O42:O43"/>
    <mergeCell ref="P42:P43"/>
    <mergeCell ref="O45:O46"/>
    <mergeCell ref="P45:P46"/>
    <mergeCell ref="O48:O49"/>
    <mergeCell ref="P48:P49"/>
    <mergeCell ref="O55:O56"/>
    <mergeCell ref="P55:P56"/>
    <mergeCell ref="O124:O125"/>
    <mergeCell ref="P124:P125"/>
    <mergeCell ref="O104:O105"/>
    <mergeCell ref="P104:P105"/>
    <mergeCell ref="O94:O95"/>
    <mergeCell ref="P94:P95"/>
    <mergeCell ref="O97:O98"/>
    <mergeCell ref="P97:P98"/>
    <mergeCell ref="O100:O101"/>
    <mergeCell ref="M110:N110"/>
    <mergeCell ref="M124:N125"/>
    <mergeCell ref="M121:N121"/>
    <mergeCell ref="M123:N123"/>
    <mergeCell ref="P100:P101"/>
    <mergeCell ref="O111:O112"/>
    <mergeCell ref="P111:P112"/>
    <mergeCell ref="M109:N109"/>
    <mergeCell ref="M103:N103"/>
    <mergeCell ref="M82:N82"/>
    <mergeCell ref="M83:N83"/>
    <mergeCell ref="M84:N84"/>
    <mergeCell ref="M86:N86"/>
    <mergeCell ref="M88:N88"/>
    <mergeCell ref="M104:N105"/>
    <mergeCell ref="M106:N106"/>
    <mergeCell ref="M107:N107"/>
    <mergeCell ref="M108:N108"/>
    <mergeCell ref="M94:N95"/>
    <mergeCell ref="M96:N96"/>
    <mergeCell ref="M97:N98"/>
    <mergeCell ref="M99:N99"/>
    <mergeCell ref="M77:N77"/>
    <mergeCell ref="M78:N78"/>
    <mergeCell ref="M79:N79"/>
    <mergeCell ref="M80:N80"/>
    <mergeCell ref="M81:N81"/>
    <mergeCell ref="M70:N70"/>
    <mergeCell ref="M71:N71"/>
    <mergeCell ref="M74:N74"/>
    <mergeCell ref="M75:N75"/>
    <mergeCell ref="M76:N76"/>
    <mergeCell ref="M64:N64"/>
    <mergeCell ref="M65:N65"/>
    <mergeCell ref="M67:N67"/>
    <mergeCell ref="M68:N68"/>
    <mergeCell ref="M69:N69"/>
    <mergeCell ref="M66:N66"/>
    <mergeCell ref="M72:N72"/>
    <mergeCell ref="M73:N73"/>
    <mergeCell ref="M57:N57"/>
    <mergeCell ref="M61:N61"/>
    <mergeCell ref="M62:N62"/>
    <mergeCell ref="M63:N63"/>
    <mergeCell ref="M58:N59"/>
    <mergeCell ref="M52:N52"/>
    <mergeCell ref="M53:N53"/>
    <mergeCell ref="M54:N54"/>
    <mergeCell ref="M55:N56"/>
    <mergeCell ref="M44:N44"/>
    <mergeCell ref="M45:N46"/>
    <mergeCell ref="M47:N47"/>
    <mergeCell ref="M48:N49"/>
    <mergeCell ref="M50:N50"/>
    <mergeCell ref="M23:N23"/>
    <mergeCell ref="M24:N24"/>
    <mergeCell ref="M25:N25"/>
    <mergeCell ref="M26:N26"/>
    <mergeCell ref="M27:N27"/>
    <mergeCell ref="M38:N38"/>
    <mergeCell ref="M39:N39"/>
    <mergeCell ref="M40:N40"/>
    <mergeCell ref="M41:N41"/>
    <mergeCell ref="M31:N31"/>
    <mergeCell ref="M32:N32"/>
    <mergeCell ref="M33:N33"/>
    <mergeCell ref="M34:N34"/>
    <mergeCell ref="M35:N35"/>
    <mergeCell ref="M36:N36"/>
    <mergeCell ref="M37:N37"/>
    <mergeCell ref="K110:L110"/>
    <mergeCell ref="K124:L125"/>
    <mergeCell ref="K126:L126"/>
    <mergeCell ref="K127:L127"/>
    <mergeCell ref="K128:L128"/>
    <mergeCell ref="K104:L105"/>
    <mergeCell ref="K106:L106"/>
    <mergeCell ref="K121:L121"/>
    <mergeCell ref="K123:L123"/>
    <mergeCell ref="K82:L82"/>
    <mergeCell ref="K83:L83"/>
    <mergeCell ref="K84:L84"/>
    <mergeCell ref="K86:L86"/>
    <mergeCell ref="K88:L88"/>
    <mergeCell ref="K80:L80"/>
    <mergeCell ref="K81:L81"/>
    <mergeCell ref="K70:L70"/>
    <mergeCell ref="M10:N10"/>
    <mergeCell ref="M11:N11"/>
    <mergeCell ref="M12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K64:L64"/>
    <mergeCell ref="K65:L65"/>
    <mergeCell ref="K67:L67"/>
    <mergeCell ref="K68:L68"/>
    <mergeCell ref="M28:N28"/>
    <mergeCell ref="M29:N29"/>
    <mergeCell ref="M30:N30"/>
    <mergeCell ref="K71:L71"/>
    <mergeCell ref="K74:L74"/>
    <mergeCell ref="K75:L75"/>
    <mergeCell ref="K76:L76"/>
    <mergeCell ref="K72:L72"/>
    <mergeCell ref="K73:L73"/>
    <mergeCell ref="K44:L44"/>
    <mergeCell ref="K45:L46"/>
    <mergeCell ref="K47:L47"/>
    <mergeCell ref="K48:L49"/>
    <mergeCell ref="K50:L50"/>
    <mergeCell ref="K38:L38"/>
    <mergeCell ref="K39:L39"/>
    <mergeCell ref="K40:L40"/>
    <mergeCell ref="K41:L41"/>
    <mergeCell ref="K42:L43"/>
    <mergeCell ref="K34:L34"/>
    <mergeCell ref="K35:L35"/>
    <mergeCell ref="K36:L36"/>
    <mergeCell ref="M42:N43"/>
    <mergeCell ref="M51:N51"/>
    <mergeCell ref="K77:L77"/>
    <mergeCell ref="K78:L78"/>
    <mergeCell ref="K79:L79"/>
    <mergeCell ref="K57:L57"/>
    <mergeCell ref="K61:L61"/>
    <mergeCell ref="K62:L62"/>
    <mergeCell ref="K63:L63"/>
    <mergeCell ref="K51:L51"/>
    <mergeCell ref="K52:L52"/>
    <mergeCell ref="K53:L53"/>
    <mergeCell ref="K54:L54"/>
    <mergeCell ref="K55:L56"/>
    <mergeCell ref="K69:L69"/>
    <mergeCell ref="K66:L66"/>
    <mergeCell ref="K58:L59"/>
    <mergeCell ref="K37:L37"/>
    <mergeCell ref="K28:L28"/>
    <mergeCell ref="K29:L29"/>
    <mergeCell ref="K30:L30"/>
    <mergeCell ref="K31:L31"/>
    <mergeCell ref="K32:L32"/>
    <mergeCell ref="K23:L23"/>
    <mergeCell ref="K24:L24"/>
    <mergeCell ref="K25:L25"/>
    <mergeCell ref="K26:L26"/>
    <mergeCell ref="K27:L27"/>
    <mergeCell ref="K33:L33"/>
    <mergeCell ref="G110:H110"/>
    <mergeCell ref="G129:H129"/>
    <mergeCell ref="G145:H145"/>
    <mergeCell ref="G91:H91"/>
    <mergeCell ref="G92:H92"/>
    <mergeCell ref="G93:H93"/>
    <mergeCell ref="G83:H83"/>
    <mergeCell ref="G84:H84"/>
    <mergeCell ref="G86:H86"/>
    <mergeCell ref="G88:H88"/>
    <mergeCell ref="G89:H89"/>
    <mergeCell ref="G78:H78"/>
    <mergeCell ref="G79:H79"/>
    <mergeCell ref="G80:H80"/>
    <mergeCell ref="G81:H81"/>
    <mergeCell ref="G82:H82"/>
    <mergeCell ref="G71:H71"/>
    <mergeCell ref="G74:H74"/>
    <mergeCell ref="G75:H75"/>
    <mergeCell ref="G76:H76"/>
    <mergeCell ref="G77:H77"/>
    <mergeCell ref="G65:H65"/>
    <mergeCell ref="G67:H67"/>
    <mergeCell ref="K10:L10"/>
    <mergeCell ref="K11:L11"/>
    <mergeCell ref="K12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G124:H125"/>
    <mergeCell ref="G142:H143"/>
    <mergeCell ref="G144:H144"/>
    <mergeCell ref="G134:H134"/>
    <mergeCell ref="G137:H137"/>
    <mergeCell ref="G138:H138"/>
    <mergeCell ref="G141:H141"/>
    <mergeCell ref="G126:H126"/>
    <mergeCell ref="G127:H127"/>
    <mergeCell ref="G128:H128"/>
    <mergeCell ref="G107:H107"/>
    <mergeCell ref="G108:H108"/>
    <mergeCell ref="G109:H109"/>
    <mergeCell ref="G103:H103"/>
    <mergeCell ref="G104:H105"/>
    <mergeCell ref="G94:H95"/>
    <mergeCell ref="G97:H98"/>
    <mergeCell ref="G96:H96"/>
    <mergeCell ref="G99:H99"/>
    <mergeCell ref="G106:H106"/>
    <mergeCell ref="G90:H90"/>
    <mergeCell ref="G68:H68"/>
    <mergeCell ref="G69:H69"/>
    <mergeCell ref="G70:H70"/>
    <mergeCell ref="G66:H66"/>
    <mergeCell ref="G72:H72"/>
    <mergeCell ref="G73:H73"/>
    <mergeCell ref="G57:H57"/>
    <mergeCell ref="G61:H61"/>
    <mergeCell ref="G62:H62"/>
    <mergeCell ref="G63:H63"/>
    <mergeCell ref="G64:H64"/>
    <mergeCell ref="G58:H59"/>
    <mergeCell ref="G51:H51"/>
    <mergeCell ref="G52:H52"/>
    <mergeCell ref="G53:H53"/>
    <mergeCell ref="G54:H54"/>
    <mergeCell ref="G55:H56"/>
    <mergeCell ref="G48:H49"/>
    <mergeCell ref="G50:H50"/>
    <mergeCell ref="G39:H39"/>
    <mergeCell ref="G40:H40"/>
    <mergeCell ref="G41:H41"/>
    <mergeCell ref="G47:H47"/>
    <mergeCell ref="G12:H13"/>
    <mergeCell ref="G42:H43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A142:F142"/>
    <mergeCell ref="A143:F143"/>
    <mergeCell ref="G7:H8"/>
    <mergeCell ref="K7:L8"/>
    <mergeCell ref="G9:H9"/>
    <mergeCell ref="K9:L9"/>
    <mergeCell ref="G10:H10"/>
    <mergeCell ref="G11:H11"/>
    <mergeCell ref="A125:F125"/>
    <mergeCell ref="A110:F110"/>
    <mergeCell ref="A129:F129"/>
    <mergeCell ref="A130:F130"/>
    <mergeCell ref="A131:F131"/>
    <mergeCell ref="A98:F98"/>
    <mergeCell ref="A103:F103"/>
    <mergeCell ref="A104:F104"/>
    <mergeCell ref="A105:F105"/>
    <mergeCell ref="A124:F124"/>
    <mergeCell ref="A84:F84"/>
    <mergeCell ref="A77:F77"/>
    <mergeCell ref="A94:F94"/>
    <mergeCell ref="A95:F95"/>
    <mergeCell ref="A79:F79"/>
    <mergeCell ref="A67:F67"/>
    <mergeCell ref="A64:F64"/>
    <mergeCell ref="A11:F11"/>
    <mergeCell ref="A10:F10"/>
    <mergeCell ref="A12:F12"/>
    <mergeCell ref="A13:F13"/>
    <mergeCell ref="M7:N8"/>
    <mergeCell ref="M9:N9"/>
    <mergeCell ref="A54:F54"/>
    <mergeCell ref="A7:F8"/>
    <mergeCell ref="A9:F9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44:H44"/>
    <mergeCell ref="G45:H46"/>
    <mergeCell ref="A55:F55"/>
    <mergeCell ref="A56:F56"/>
    <mergeCell ref="A60:F60"/>
    <mergeCell ref="A42:F42"/>
    <mergeCell ref="A43:F43"/>
    <mergeCell ref="A45:F45"/>
    <mergeCell ref="A46:F46"/>
    <mergeCell ref="A48:F48"/>
    <mergeCell ref="A49:F49"/>
    <mergeCell ref="A111:F111"/>
    <mergeCell ref="G111:H112"/>
    <mergeCell ref="K111:L112"/>
    <mergeCell ref="M111:N112"/>
    <mergeCell ref="A112:F112"/>
    <mergeCell ref="G113:H113"/>
    <mergeCell ref="K113:L113"/>
    <mergeCell ref="M113:N113"/>
    <mergeCell ref="A81:F81"/>
    <mergeCell ref="A97:F97"/>
    <mergeCell ref="K109:L109"/>
    <mergeCell ref="K94:L95"/>
    <mergeCell ref="K96:L96"/>
    <mergeCell ref="K97:L98"/>
    <mergeCell ref="K99:L99"/>
    <mergeCell ref="K103:L103"/>
    <mergeCell ref="K89:L89"/>
    <mergeCell ref="K107:L107"/>
    <mergeCell ref="K108:L108"/>
    <mergeCell ref="M89:N89"/>
    <mergeCell ref="M90:N90"/>
    <mergeCell ref="M91:N91"/>
    <mergeCell ref="M92:N92"/>
    <mergeCell ref="M93:N93"/>
    <mergeCell ref="G121:H121"/>
    <mergeCell ref="A147:F147"/>
    <mergeCell ref="G147:H147"/>
    <mergeCell ref="I147:J147"/>
    <mergeCell ref="K147:L147"/>
    <mergeCell ref="M147:N147"/>
    <mergeCell ref="G148:H148"/>
    <mergeCell ref="I148:J148"/>
    <mergeCell ref="K148:L148"/>
    <mergeCell ref="M148:N148"/>
    <mergeCell ref="K144:L144"/>
    <mergeCell ref="K145:L145"/>
    <mergeCell ref="K129:L129"/>
    <mergeCell ref="K134:L134"/>
    <mergeCell ref="K137:L137"/>
    <mergeCell ref="K138:L138"/>
    <mergeCell ref="M144:N144"/>
    <mergeCell ref="M145:N145"/>
    <mergeCell ref="M129:N129"/>
    <mergeCell ref="M134:N134"/>
    <mergeCell ref="M137:N137"/>
    <mergeCell ref="M138:N138"/>
    <mergeCell ref="G140:H140"/>
    <mergeCell ref="K140:L140"/>
    <mergeCell ref="A5:P5"/>
    <mergeCell ref="A132:F132"/>
    <mergeCell ref="A116:F116"/>
    <mergeCell ref="G114:H116"/>
    <mergeCell ref="I114:J116"/>
    <mergeCell ref="K114:L116"/>
    <mergeCell ref="M114:N116"/>
    <mergeCell ref="O114:O116"/>
    <mergeCell ref="P114:P116"/>
    <mergeCell ref="G118:H118"/>
    <mergeCell ref="I118:J118"/>
    <mergeCell ref="K118:L118"/>
    <mergeCell ref="M118:N118"/>
    <mergeCell ref="G120:H120"/>
    <mergeCell ref="I120:J120"/>
    <mergeCell ref="K120:L120"/>
    <mergeCell ref="M120:N120"/>
    <mergeCell ref="G122:H122"/>
    <mergeCell ref="I122:J122"/>
    <mergeCell ref="K122:L122"/>
    <mergeCell ref="M122:N122"/>
    <mergeCell ref="G117:H117"/>
    <mergeCell ref="K117:L117"/>
    <mergeCell ref="M117:N117"/>
  </mergeCells>
  <pageMargins left="0.7" right="0.7" top="0.75" bottom="0.75" header="0.3" footer="0.3"/>
  <pageSetup paperSize="9" scale="53" orientation="portrait" r:id="rId2"/>
  <rowBreaks count="1" manualBreakCount="1">
    <brk id="53" max="16383" man="1"/>
  </rowBreaks>
  <ignoredErrors>
    <ignoredError sqref="O123:P145 O147:P148 O61:P114 O117:P122 O42:P57 O6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9"/>
  <sheetViews>
    <sheetView topLeftCell="A7" zoomScaleNormal="100" workbookViewId="0">
      <selection activeCell="N10" sqref="N10"/>
    </sheetView>
  </sheetViews>
  <sheetFormatPr defaultRowHeight="15" x14ac:dyDescent="0.25"/>
  <cols>
    <col min="1" max="14" width="8.85546875" customWidth="1"/>
    <col min="16" max="16" width="12.7109375" bestFit="1" customWidth="1"/>
    <col min="18" max="18" width="10.140625" bestFit="1" customWidth="1"/>
  </cols>
  <sheetData>
    <row r="1" spans="1:18" x14ac:dyDescent="0.25">
      <c r="A1" s="1" t="s">
        <v>26</v>
      </c>
    </row>
    <row r="2" spans="1:18" x14ac:dyDescent="0.25">
      <c r="A2" t="s">
        <v>24</v>
      </c>
    </row>
    <row r="3" spans="1:18" x14ac:dyDescent="0.25">
      <c r="A3" t="s">
        <v>25</v>
      </c>
    </row>
    <row r="5" spans="1:18" x14ac:dyDescent="0.25">
      <c r="A5" s="100" t="s">
        <v>168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</row>
    <row r="7" spans="1:18" ht="15.75" thickBot="1" x14ac:dyDescent="0.3">
      <c r="A7" s="1" t="s">
        <v>180</v>
      </c>
    </row>
    <row r="8" spans="1:18" x14ac:dyDescent="0.25">
      <c r="A8" s="305" t="s">
        <v>14</v>
      </c>
      <c r="B8" s="306"/>
      <c r="C8" s="306"/>
      <c r="D8" s="306"/>
      <c r="E8" s="210" t="s">
        <v>166</v>
      </c>
      <c r="F8" s="211"/>
      <c r="G8" s="210" t="s">
        <v>211</v>
      </c>
      <c r="H8" s="211"/>
      <c r="I8" s="210" t="s">
        <v>208</v>
      </c>
      <c r="J8" s="211"/>
      <c r="K8" s="214" t="s">
        <v>57</v>
      </c>
      <c r="L8" s="214"/>
      <c r="M8" s="25" t="s">
        <v>58</v>
      </c>
      <c r="N8" s="25" t="s">
        <v>58</v>
      </c>
    </row>
    <row r="9" spans="1:18" x14ac:dyDescent="0.25">
      <c r="A9" s="38" t="s">
        <v>181</v>
      </c>
      <c r="B9" s="307" t="s">
        <v>182</v>
      </c>
      <c r="C9" s="307"/>
      <c r="D9" s="307"/>
      <c r="E9" s="212"/>
      <c r="F9" s="213"/>
      <c r="G9" s="212"/>
      <c r="H9" s="213"/>
      <c r="I9" s="212"/>
      <c r="J9" s="213"/>
      <c r="K9" s="215"/>
      <c r="L9" s="215"/>
      <c r="M9" s="28" t="s">
        <v>209</v>
      </c>
      <c r="N9" s="26" t="s">
        <v>220</v>
      </c>
    </row>
    <row r="10" spans="1:18" ht="15.75" thickBot="1" x14ac:dyDescent="0.3">
      <c r="A10" s="208">
        <v>1</v>
      </c>
      <c r="B10" s="209"/>
      <c r="C10" s="209"/>
      <c r="D10" s="209"/>
      <c r="E10" s="208">
        <v>2</v>
      </c>
      <c r="F10" s="209"/>
      <c r="G10" s="208">
        <v>3</v>
      </c>
      <c r="H10" s="209"/>
      <c r="I10" s="208">
        <v>4</v>
      </c>
      <c r="J10" s="209"/>
      <c r="K10" s="208">
        <v>5</v>
      </c>
      <c r="L10" s="209"/>
      <c r="M10" s="27">
        <v>6</v>
      </c>
      <c r="N10" s="27">
        <v>7</v>
      </c>
    </row>
    <row r="11" spans="1:18" x14ac:dyDescent="0.25">
      <c r="A11" s="39">
        <v>11</v>
      </c>
      <c r="B11" s="40" t="s">
        <v>170</v>
      </c>
      <c r="C11" s="40"/>
      <c r="D11" s="40"/>
      <c r="E11" s="107">
        <v>155520</v>
      </c>
      <c r="F11" s="108"/>
      <c r="G11" s="107"/>
      <c r="H11" s="108"/>
      <c r="I11" s="107">
        <v>137769.21</v>
      </c>
      <c r="J11" s="108"/>
      <c r="K11" s="107">
        <v>133677.39000000001</v>
      </c>
      <c r="L11" s="108"/>
      <c r="M11" s="68">
        <f>K11/E11*100</f>
        <v>85.955111882716068</v>
      </c>
      <c r="N11" s="68">
        <f>K11/I11*100</f>
        <v>97.029945950913145</v>
      </c>
      <c r="P11" s="37"/>
      <c r="Q11" s="37"/>
      <c r="R11" s="37"/>
    </row>
    <row r="12" spans="1:18" x14ac:dyDescent="0.25">
      <c r="A12" s="12">
        <v>12</v>
      </c>
      <c r="B12" s="4" t="s">
        <v>171</v>
      </c>
      <c r="C12" s="4"/>
      <c r="D12" s="4"/>
      <c r="E12" s="96"/>
      <c r="F12" s="97"/>
      <c r="G12" s="96"/>
      <c r="H12" s="97"/>
      <c r="I12" s="96">
        <v>157368.53</v>
      </c>
      <c r="J12" s="97"/>
      <c r="K12" s="96">
        <v>157368.53</v>
      </c>
      <c r="L12" s="97"/>
      <c r="M12" s="57" t="e">
        <f>K12/E12*100</f>
        <v>#DIV/0!</v>
      </c>
      <c r="N12" s="57">
        <f>K12/I12*100</f>
        <v>100</v>
      </c>
      <c r="P12" s="37"/>
      <c r="Q12" s="37"/>
      <c r="R12" s="37"/>
    </row>
    <row r="13" spans="1:18" x14ac:dyDescent="0.25">
      <c r="A13" s="12">
        <v>19</v>
      </c>
      <c r="B13" s="4" t="s">
        <v>172</v>
      </c>
      <c r="C13" s="4"/>
      <c r="D13" s="4"/>
      <c r="E13" s="96">
        <v>4386.74</v>
      </c>
      <c r="F13" s="97"/>
      <c r="G13" s="96"/>
      <c r="H13" s="97"/>
      <c r="I13" s="96">
        <v>29248.79</v>
      </c>
      <c r="J13" s="97"/>
      <c r="K13" s="96">
        <v>23853.38</v>
      </c>
      <c r="L13" s="97"/>
      <c r="M13" s="57">
        <f t="shared" ref="M13:M20" si="0">K13/E13*100</f>
        <v>543.76097056128242</v>
      </c>
      <c r="N13" s="57">
        <f>K13/I13*100</f>
        <v>81.553390755651776</v>
      </c>
      <c r="P13" s="37"/>
      <c r="Q13" s="37"/>
      <c r="R13" s="37"/>
    </row>
    <row r="14" spans="1:18" x14ac:dyDescent="0.25">
      <c r="A14" s="12">
        <v>31</v>
      </c>
      <c r="B14" s="4" t="s">
        <v>173</v>
      </c>
      <c r="C14" s="4"/>
      <c r="D14" s="4"/>
      <c r="E14" s="96">
        <v>19590</v>
      </c>
      <c r="F14" s="97"/>
      <c r="G14" s="96"/>
      <c r="H14" s="97"/>
      <c r="I14" s="96">
        <v>9000</v>
      </c>
      <c r="J14" s="97"/>
      <c r="K14" s="96">
        <v>31940</v>
      </c>
      <c r="L14" s="97"/>
      <c r="M14" s="57">
        <f t="shared" si="0"/>
        <v>163.04236855538539</v>
      </c>
      <c r="N14" s="57">
        <f t="shared" ref="N13:N22" si="1">K14/I14*100</f>
        <v>354.88888888888891</v>
      </c>
      <c r="P14" s="37"/>
    </row>
    <row r="15" spans="1:18" x14ac:dyDescent="0.25">
      <c r="A15" s="12">
        <v>41</v>
      </c>
      <c r="B15" s="4" t="s">
        <v>167</v>
      </c>
      <c r="C15" s="4"/>
      <c r="D15" s="4"/>
      <c r="E15" s="96">
        <v>7485.2</v>
      </c>
      <c r="F15" s="97"/>
      <c r="G15" s="96">
        <f>1500</f>
        <v>1500</v>
      </c>
      <c r="H15" s="97"/>
      <c r="I15" s="96">
        <v>5000</v>
      </c>
      <c r="J15" s="97"/>
      <c r="K15" s="96">
        <v>11674.44</v>
      </c>
      <c r="L15" s="97"/>
      <c r="M15" s="57">
        <f t="shared" si="0"/>
        <v>155.96697483033185</v>
      </c>
      <c r="N15" s="57">
        <f t="shared" si="1"/>
        <v>233.48880000000003</v>
      </c>
      <c r="P15" s="37"/>
      <c r="Q15" s="37"/>
      <c r="R15" s="37"/>
    </row>
    <row r="16" spans="1:18" x14ac:dyDescent="0.25">
      <c r="A16" s="12">
        <v>42</v>
      </c>
      <c r="B16" s="4" t="s">
        <v>174</v>
      </c>
      <c r="C16" s="4"/>
      <c r="D16" s="4"/>
      <c r="E16" s="96">
        <v>363498.13</v>
      </c>
      <c r="F16" s="97"/>
      <c r="G16" s="96">
        <f>51000</f>
        <v>51000</v>
      </c>
      <c r="H16" s="97"/>
      <c r="I16" s="96">
        <v>83080</v>
      </c>
      <c r="J16" s="97"/>
      <c r="K16" s="96">
        <v>103547.03</v>
      </c>
      <c r="L16" s="97"/>
      <c r="M16" s="57">
        <f t="shared" si="0"/>
        <v>28.486262088886122</v>
      </c>
      <c r="N16" s="57">
        <f t="shared" si="1"/>
        <v>124.63532739528165</v>
      </c>
      <c r="P16" s="37"/>
      <c r="Q16" s="37"/>
      <c r="R16" s="37"/>
    </row>
    <row r="17" spans="1:18" x14ac:dyDescent="0.25">
      <c r="A17" s="12">
        <v>45</v>
      </c>
      <c r="B17" s="4" t="s">
        <v>175</v>
      </c>
      <c r="C17" s="4"/>
      <c r="D17" s="4"/>
      <c r="E17" s="96">
        <v>1065578.25</v>
      </c>
      <c r="F17" s="97"/>
      <c r="G17" s="96">
        <f>1178288.31</f>
        <v>1178288.31</v>
      </c>
      <c r="H17" s="97"/>
      <c r="I17" s="96">
        <v>1116533.7</v>
      </c>
      <c r="J17" s="97"/>
      <c r="K17" s="96">
        <v>1116484.24</v>
      </c>
      <c r="L17" s="97"/>
      <c r="M17" s="57">
        <f t="shared" si="0"/>
        <v>104.77731128614909</v>
      </c>
      <c r="N17" s="57">
        <f t="shared" si="1"/>
        <v>99.995570218794114</v>
      </c>
      <c r="P17" s="37"/>
    </row>
    <row r="18" spans="1:18" x14ac:dyDescent="0.25">
      <c r="A18" s="12">
        <v>51</v>
      </c>
      <c r="B18" s="4" t="s">
        <v>176</v>
      </c>
      <c r="C18" s="4"/>
      <c r="D18" s="4"/>
      <c r="E18" s="96">
        <f>65305.8+6000+9808418.54+1655</f>
        <v>9881379.3399999999</v>
      </c>
      <c r="F18" s="97"/>
      <c r="G18" s="96">
        <f>9321000+60000</f>
        <v>9381000</v>
      </c>
      <c r="H18" s="97"/>
      <c r="I18" s="96">
        <v>9340009.5600000005</v>
      </c>
      <c r="J18" s="97"/>
      <c r="K18" s="96">
        <f>526916.39+6000+10471935.6+3389.65+3043.56</f>
        <v>11011285.200000001</v>
      </c>
      <c r="L18" s="97"/>
      <c r="M18" s="57">
        <f t="shared" si="0"/>
        <v>111.43469773927333</v>
      </c>
      <c r="N18" s="57">
        <f t="shared" si="1"/>
        <v>117.89372515374599</v>
      </c>
      <c r="P18" s="37"/>
      <c r="Q18" s="37"/>
      <c r="R18" s="37"/>
    </row>
    <row r="19" spans="1:18" x14ac:dyDescent="0.25">
      <c r="A19" s="12">
        <v>53</v>
      </c>
      <c r="B19" s="4" t="s">
        <v>177</v>
      </c>
      <c r="C19" s="4"/>
      <c r="D19" s="4"/>
      <c r="E19" s="96"/>
      <c r="F19" s="97"/>
      <c r="G19" s="96"/>
      <c r="H19" s="97"/>
      <c r="I19" s="96"/>
      <c r="J19" s="97"/>
      <c r="K19" s="96">
        <v>7500</v>
      </c>
      <c r="L19" s="97"/>
      <c r="M19" s="57" t="e">
        <f t="shared" si="0"/>
        <v>#DIV/0!</v>
      </c>
      <c r="N19" s="57" t="e">
        <f t="shared" si="1"/>
        <v>#DIV/0!</v>
      </c>
    </row>
    <row r="20" spans="1:18" x14ac:dyDescent="0.25">
      <c r="A20" s="12">
        <v>54</v>
      </c>
      <c r="B20" s="4" t="s">
        <v>178</v>
      </c>
      <c r="C20" s="4"/>
      <c r="D20" s="4"/>
      <c r="E20" s="96">
        <f>1012.82+41683.05+3277.5</f>
        <v>45973.37</v>
      </c>
      <c r="F20" s="97"/>
      <c r="G20" s="96">
        <f>110900</f>
        <v>110900</v>
      </c>
      <c r="H20" s="97"/>
      <c r="I20" s="96">
        <v>27733.15</v>
      </c>
      <c r="J20" s="97"/>
      <c r="K20" s="96">
        <f>23275.03+27733.15+165290.12</f>
        <v>216298.3</v>
      </c>
      <c r="L20" s="97"/>
      <c r="M20" s="57">
        <f t="shared" si="0"/>
        <v>470.48606617265597</v>
      </c>
      <c r="N20" s="57">
        <f t="shared" si="1"/>
        <v>779.92691057452896</v>
      </c>
      <c r="P20" s="37"/>
    </row>
    <row r="21" spans="1:18" ht="15.75" thickBot="1" x14ac:dyDescent="0.3">
      <c r="A21" s="41">
        <v>61</v>
      </c>
      <c r="B21" s="42" t="s">
        <v>179</v>
      </c>
      <c r="C21" s="42"/>
      <c r="D21" s="42"/>
      <c r="E21" s="96"/>
      <c r="F21" s="97"/>
      <c r="G21" s="257"/>
      <c r="H21" s="258"/>
      <c r="I21" s="257"/>
      <c r="J21" s="258"/>
      <c r="K21" s="96">
        <f>73292.8+5095.51</f>
        <v>78388.31</v>
      </c>
      <c r="L21" s="97"/>
      <c r="M21" s="57" t="e">
        <f>K21/E21*100</f>
        <v>#DIV/0!</v>
      </c>
      <c r="N21" s="57" t="e">
        <f t="shared" si="1"/>
        <v>#DIV/0!</v>
      </c>
      <c r="P21" s="37"/>
    </row>
    <row r="22" spans="1:18" ht="15.75" thickBot="1" x14ac:dyDescent="0.3">
      <c r="A22" s="308" t="s">
        <v>169</v>
      </c>
      <c r="B22" s="308"/>
      <c r="C22" s="308"/>
      <c r="D22" s="308"/>
      <c r="E22" s="311">
        <f t="shared" ref="E22:I22" si="2">SUM(E11:F21)</f>
        <v>11543411.029999999</v>
      </c>
      <c r="F22" s="312"/>
      <c r="G22" s="311">
        <f>SUM(G11:H21)</f>
        <v>10722688.310000001</v>
      </c>
      <c r="H22" s="312"/>
      <c r="I22" s="311">
        <f t="shared" si="2"/>
        <v>10905742.940000001</v>
      </c>
      <c r="J22" s="312"/>
      <c r="K22" s="311">
        <f t="shared" ref="K22" si="3">SUM(K11:L21)</f>
        <v>12892016.820000002</v>
      </c>
      <c r="L22" s="312"/>
      <c r="M22" s="69">
        <f>K22/E22*100</f>
        <v>111.6829053950789</v>
      </c>
      <c r="N22" s="69">
        <f t="shared" si="1"/>
        <v>118.21310011548833</v>
      </c>
    </row>
    <row r="23" spans="1:18" x14ac:dyDescent="0.25">
      <c r="P23" s="37"/>
    </row>
    <row r="24" spans="1:18" ht="15.75" thickBot="1" x14ac:dyDescent="0.3">
      <c r="A24" s="1" t="s">
        <v>183</v>
      </c>
      <c r="R24" s="37"/>
    </row>
    <row r="25" spans="1:18" ht="15" customHeight="1" x14ac:dyDescent="0.25">
      <c r="A25" s="305" t="s">
        <v>14</v>
      </c>
      <c r="B25" s="306"/>
      <c r="C25" s="306"/>
      <c r="D25" s="306"/>
      <c r="E25" s="210" t="s">
        <v>166</v>
      </c>
      <c r="F25" s="211"/>
      <c r="G25" s="210" t="s">
        <v>211</v>
      </c>
      <c r="H25" s="211"/>
      <c r="I25" s="210" t="s">
        <v>208</v>
      </c>
      <c r="J25" s="211"/>
      <c r="K25" s="214" t="s">
        <v>57</v>
      </c>
      <c r="L25" s="214"/>
      <c r="M25" s="25" t="s">
        <v>58</v>
      </c>
      <c r="N25" s="25" t="s">
        <v>58</v>
      </c>
    </row>
    <row r="26" spans="1:18" x14ac:dyDescent="0.25">
      <c r="A26" s="38" t="s">
        <v>181</v>
      </c>
      <c r="B26" s="307" t="s">
        <v>182</v>
      </c>
      <c r="C26" s="307"/>
      <c r="D26" s="307"/>
      <c r="E26" s="212"/>
      <c r="F26" s="213"/>
      <c r="G26" s="212"/>
      <c r="H26" s="213"/>
      <c r="I26" s="212"/>
      <c r="J26" s="213"/>
      <c r="K26" s="215"/>
      <c r="L26" s="215"/>
      <c r="M26" s="28" t="s">
        <v>209</v>
      </c>
      <c r="N26" s="26" t="s">
        <v>210</v>
      </c>
    </row>
    <row r="27" spans="1:18" ht="15.75" thickBot="1" x14ac:dyDescent="0.3">
      <c r="A27" s="208">
        <v>1</v>
      </c>
      <c r="B27" s="209"/>
      <c r="C27" s="209"/>
      <c r="D27" s="209"/>
      <c r="E27" s="208">
        <v>2</v>
      </c>
      <c r="F27" s="209"/>
      <c r="G27" s="208">
        <v>3</v>
      </c>
      <c r="H27" s="209"/>
      <c r="I27" s="208">
        <v>4</v>
      </c>
      <c r="J27" s="209"/>
      <c r="K27" s="208">
        <v>5</v>
      </c>
      <c r="L27" s="209"/>
      <c r="M27" s="27">
        <v>6</v>
      </c>
      <c r="N27" s="27">
        <v>7</v>
      </c>
    </row>
    <row r="28" spans="1:18" x14ac:dyDescent="0.25">
      <c r="A28" s="39">
        <v>11</v>
      </c>
      <c r="B28" s="40" t="s">
        <v>170</v>
      </c>
      <c r="C28" s="40"/>
      <c r="D28" s="40"/>
      <c r="E28" s="107">
        <v>155520</v>
      </c>
      <c r="F28" s="108"/>
      <c r="G28" s="107"/>
      <c r="H28" s="108"/>
      <c r="I28" s="107">
        <v>137769.21</v>
      </c>
      <c r="J28" s="108"/>
      <c r="K28" s="107">
        <v>133677.39000000001</v>
      </c>
      <c r="L28" s="108"/>
      <c r="M28" s="68">
        <f>K28/E28*100</f>
        <v>85.955111882716068</v>
      </c>
      <c r="N28" s="68">
        <f>K28/I28*100</f>
        <v>97.029945950913145</v>
      </c>
    </row>
    <row r="29" spans="1:18" x14ac:dyDescent="0.25">
      <c r="A29" s="12">
        <v>12</v>
      </c>
      <c r="B29" s="4" t="s">
        <v>171</v>
      </c>
      <c r="C29" s="4"/>
      <c r="D29" s="4"/>
      <c r="E29" s="96"/>
      <c r="F29" s="97"/>
      <c r="G29" s="96"/>
      <c r="H29" s="97"/>
      <c r="I29" s="96">
        <v>157368.53</v>
      </c>
      <c r="J29" s="97"/>
      <c r="K29" s="96">
        <v>157368.53</v>
      </c>
      <c r="L29" s="97"/>
      <c r="M29" s="57" t="e">
        <f>K29/E29*100</f>
        <v>#DIV/0!</v>
      </c>
      <c r="N29" s="57">
        <f>K29/I29*100</f>
        <v>100</v>
      </c>
    </row>
    <row r="30" spans="1:18" x14ac:dyDescent="0.25">
      <c r="A30" s="12">
        <v>19</v>
      </c>
      <c r="B30" s="4" t="s">
        <v>172</v>
      </c>
      <c r="C30" s="4"/>
      <c r="D30" s="4"/>
      <c r="E30" s="96">
        <v>4386.74</v>
      </c>
      <c r="F30" s="97"/>
      <c r="G30" s="96"/>
      <c r="H30" s="97"/>
      <c r="I30" s="96">
        <v>29248.79</v>
      </c>
      <c r="J30" s="97"/>
      <c r="K30" s="96">
        <v>23853.38</v>
      </c>
      <c r="L30" s="97"/>
      <c r="M30" s="57">
        <f t="shared" ref="M30:M38" si="4">K30/E30*100</f>
        <v>543.76097056128242</v>
      </c>
      <c r="N30" s="57">
        <f t="shared" ref="N30:N38" si="5">K30/I30*100</f>
        <v>81.553390755651776</v>
      </c>
    </row>
    <row r="31" spans="1:18" x14ac:dyDescent="0.25">
      <c r="A31" s="12">
        <v>31</v>
      </c>
      <c r="B31" s="4" t="s">
        <v>173</v>
      </c>
      <c r="C31" s="4"/>
      <c r="D31" s="4"/>
      <c r="E31" s="96"/>
      <c r="F31" s="97"/>
      <c r="G31" s="96"/>
      <c r="H31" s="97"/>
      <c r="I31" s="96">
        <v>9000</v>
      </c>
      <c r="J31" s="97"/>
      <c r="K31" s="96">
        <v>12462.21</v>
      </c>
      <c r="L31" s="97"/>
      <c r="M31" s="57" t="e">
        <f t="shared" si="4"/>
        <v>#DIV/0!</v>
      </c>
      <c r="N31" s="57">
        <f t="shared" si="5"/>
        <v>138.46899999999999</v>
      </c>
    </row>
    <row r="32" spans="1:18" x14ac:dyDescent="0.25">
      <c r="A32" s="12">
        <v>41</v>
      </c>
      <c r="B32" s="4" t="s">
        <v>167</v>
      </c>
      <c r="C32" s="4"/>
      <c r="D32" s="4"/>
      <c r="E32" s="96">
        <v>162</v>
      </c>
      <c r="F32" s="97"/>
      <c r="G32" s="96">
        <f>1500</f>
        <v>1500</v>
      </c>
      <c r="H32" s="97"/>
      <c r="I32" s="96">
        <v>5000</v>
      </c>
      <c r="J32" s="97"/>
      <c r="K32" s="96">
        <v>933.75</v>
      </c>
      <c r="L32" s="97"/>
      <c r="M32" s="57">
        <f t="shared" si="4"/>
        <v>576.38888888888891</v>
      </c>
      <c r="N32" s="57">
        <f t="shared" si="5"/>
        <v>18.675000000000001</v>
      </c>
    </row>
    <row r="33" spans="1:16" x14ac:dyDescent="0.25">
      <c r="A33" s="12">
        <v>42</v>
      </c>
      <c r="B33" s="4" t="s">
        <v>174</v>
      </c>
      <c r="C33" s="4"/>
      <c r="D33" s="4"/>
      <c r="E33" s="96">
        <v>305658.81</v>
      </c>
      <c r="F33" s="97"/>
      <c r="G33" s="96">
        <f>6000+2000+43000</f>
        <v>51000</v>
      </c>
      <c r="H33" s="97"/>
      <c r="I33" s="96">
        <v>83080</v>
      </c>
      <c r="J33" s="97"/>
      <c r="K33" s="309">
        <f>92938.57+5506.05</f>
        <v>98444.62000000001</v>
      </c>
      <c r="L33" s="310"/>
      <c r="M33" s="57">
        <f t="shared" si="4"/>
        <v>32.207355645989729</v>
      </c>
      <c r="N33" s="57">
        <f t="shared" si="5"/>
        <v>118.49376504573905</v>
      </c>
      <c r="P33" s="37"/>
    </row>
    <row r="34" spans="1:16" x14ac:dyDescent="0.25">
      <c r="A34" s="12">
        <v>45</v>
      </c>
      <c r="B34" s="4" t="s">
        <v>175</v>
      </c>
      <c r="C34" s="4"/>
      <c r="D34" s="4"/>
      <c r="E34" s="96">
        <v>1065578.25</v>
      </c>
      <c r="F34" s="97"/>
      <c r="G34" s="96">
        <f>1178288.31</f>
        <v>1178288.31</v>
      </c>
      <c r="H34" s="97"/>
      <c r="I34" s="96">
        <v>1116533.7</v>
      </c>
      <c r="J34" s="97"/>
      <c r="K34" s="96">
        <v>1116484.24</v>
      </c>
      <c r="L34" s="97"/>
      <c r="M34" s="57">
        <f t="shared" si="4"/>
        <v>104.77731128614909</v>
      </c>
      <c r="N34" s="57">
        <f t="shared" si="5"/>
        <v>99.995570218794114</v>
      </c>
    </row>
    <row r="35" spans="1:16" x14ac:dyDescent="0.25">
      <c r="A35" s="12">
        <v>51</v>
      </c>
      <c r="B35" s="4" t="s">
        <v>176</v>
      </c>
      <c r="C35" s="4"/>
      <c r="D35" s="4"/>
      <c r="E35" s="96">
        <v>9863659.25</v>
      </c>
      <c r="F35" s="97"/>
      <c r="G35" s="96">
        <f>9321000+5000+45000+10000</f>
        <v>9381000</v>
      </c>
      <c r="H35" s="97"/>
      <c r="I35" s="96">
        <v>9340009.5600000005</v>
      </c>
      <c r="J35" s="97"/>
      <c r="K35" s="96">
        <v>10961714.619999999</v>
      </c>
      <c r="L35" s="97"/>
      <c r="M35" s="57">
        <f t="shared" si="4"/>
        <v>111.13233275977169</v>
      </c>
      <c r="N35" s="57">
        <f t="shared" si="5"/>
        <v>117.36299143573893</v>
      </c>
    </row>
    <row r="36" spans="1:16" x14ac:dyDescent="0.25">
      <c r="A36" s="12">
        <v>53</v>
      </c>
      <c r="B36" s="4" t="s">
        <v>177</v>
      </c>
      <c r="C36" s="4"/>
      <c r="D36" s="4"/>
      <c r="E36" s="96"/>
      <c r="F36" s="97"/>
      <c r="G36" s="96"/>
      <c r="H36" s="97"/>
      <c r="I36" s="96"/>
      <c r="J36" s="97"/>
      <c r="K36" s="96">
        <v>7106.69</v>
      </c>
      <c r="L36" s="97"/>
      <c r="M36" s="57" t="e">
        <f t="shared" si="4"/>
        <v>#DIV/0!</v>
      </c>
      <c r="N36" s="57" t="e">
        <f t="shared" si="5"/>
        <v>#DIV/0!</v>
      </c>
    </row>
    <row r="37" spans="1:16" x14ac:dyDescent="0.25">
      <c r="A37" s="12">
        <v>54</v>
      </c>
      <c r="B37" s="4" t="s">
        <v>178</v>
      </c>
      <c r="C37" s="4"/>
      <c r="D37" s="4"/>
      <c r="E37" s="96">
        <v>44898.95</v>
      </c>
      <c r="F37" s="97"/>
      <c r="G37" s="96">
        <f>92000+15900+3000</f>
        <v>110900</v>
      </c>
      <c r="H37" s="97"/>
      <c r="I37" s="96">
        <v>27733.15</v>
      </c>
      <c r="J37" s="97"/>
      <c r="K37" s="96">
        <v>82041.649999999994</v>
      </c>
      <c r="L37" s="97"/>
      <c r="M37" s="57">
        <f t="shared" si="4"/>
        <v>182.72509713478823</v>
      </c>
      <c r="N37" s="57">
        <f t="shared" si="5"/>
        <v>295.82521278686335</v>
      </c>
    </row>
    <row r="38" spans="1:16" ht="15.75" thickBot="1" x14ac:dyDescent="0.3">
      <c r="A38" s="41">
        <v>61</v>
      </c>
      <c r="B38" s="42" t="s">
        <v>179</v>
      </c>
      <c r="C38" s="42"/>
      <c r="D38" s="42"/>
      <c r="E38" s="257"/>
      <c r="F38" s="258"/>
      <c r="G38" s="257"/>
      <c r="H38" s="258"/>
      <c r="I38" s="257"/>
      <c r="J38" s="258"/>
      <c r="K38" s="257">
        <v>72392.600000000006</v>
      </c>
      <c r="L38" s="258"/>
      <c r="M38" s="58" t="e">
        <f t="shared" si="4"/>
        <v>#DIV/0!</v>
      </c>
      <c r="N38" s="58" t="e">
        <f t="shared" si="5"/>
        <v>#DIV/0!</v>
      </c>
    </row>
    <row r="39" spans="1:16" ht="15.75" thickBot="1" x14ac:dyDescent="0.3">
      <c r="A39" s="308" t="s">
        <v>169</v>
      </c>
      <c r="B39" s="308"/>
      <c r="C39" s="308"/>
      <c r="D39" s="308"/>
      <c r="E39" s="311">
        <f>SUM(E28:F38)</f>
        <v>11439864</v>
      </c>
      <c r="F39" s="312"/>
      <c r="G39" s="311">
        <f>SUM(G28:H38)</f>
        <v>10722688.310000001</v>
      </c>
      <c r="H39" s="312"/>
      <c r="I39" s="311">
        <f>SUM(I28:J38)</f>
        <v>10905742.940000001</v>
      </c>
      <c r="J39" s="312"/>
      <c r="K39" s="311">
        <f>SUM(K28:L38)</f>
        <v>12666479.679999998</v>
      </c>
      <c r="L39" s="312"/>
      <c r="M39" s="69">
        <f t="shared" ref="M39" si="6">K39/E39*100</f>
        <v>110.72229250277799</v>
      </c>
      <c r="N39" s="69">
        <f t="shared" ref="N39" si="7">K39/I39*100</f>
        <v>116.14504165087168</v>
      </c>
      <c r="P39" s="37"/>
    </row>
  </sheetData>
  <customSheetViews>
    <customSheetView guid="{005C429F-8448-44DF-83AD-8A930973E873}" topLeftCell="A4">
      <selection activeCell="O19" sqref="O19"/>
      <pageMargins left="0.7" right="0.7" top="0.75" bottom="0.75" header="0.3" footer="0.3"/>
      <pageSetup paperSize="9" scale="82" orientation="portrait" r:id="rId1"/>
    </customSheetView>
  </customSheetViews>
  <mergeCells count="121">
    <mergeCell ref="G36:H36"/>
    <mergeCell ref="G37:H37"/>
    <mergeCell ref="G38:H38"/>
    <mergeCell ref="G39:H39"/>
    <mergeCell ref="G20:H20"/>
    <mergeCell ref="G21:H21"/>
    <mergeCell ref="G22:H22"/>
    <mergeCell ref="G25:H26"/>
    <mergeCell ref="G27:H27"/>
    <mergeCell ref="E38:F38"/>
    <mergeCell ref="I38:J38"/>
    <mergeCell ref="K38:L38"/>
    <mergeCell ref="A39:D39"/>
    <mergeCell ref="E22:F22"/>
    <mergeCell ref="I22:J22"/>
    <mergeCell ref="K22:L22"/>
    <mergeCell ref="E39:F39"/>
    <mergeCell ref="I39:J39"/>
    <mergeCell ref="K39:L39"/>
    <mergeCell ref="E36:F36"/>
    <mergeCell ref="I36:J36"/>
    <mergeCell ref="K36:L36"/>
    <mergeCell ref="E37:F37"/>
    <mergeCell ref="I37:J37"/>
    <mergeCell ref="K37:L37"/>
    <mergeCell ref="E34:F34"/>
    <mergeCell ref="I34:J34"/>
    <mergeCell ref="K34:L34"/>
    <mergeCell ref="E35:F35"/>
    <mergeCell ref="I35:J35"/>
    <mergeCell ref="K35:L35"/>
    <mergeCell ref="G34:H34"/>
    <mergeCell ref="G35:H35"/>
    <mergeCell ref="E32:F32"/>
    <mergeCell ref="I32:J32"/>
    <mergeCell ref="K32:L32"/>
    <mergeCell ref="E33:F33"/>
    <mergeCell ref="I33:J33"/>
    <mergeCell ref="K33:L33"/>
    <mergeCell ref="G32:H32"/>
    <mergeCell ref="G33:H33"/>
    <mergeCell ref="E30:F30"/>
    <mergeCell ref="I30:J30"/>
    <mergeCell ref="K30:L30"/>
    <mergeCell ref="E31:F31"/>
    <mergeCell ref="I31:J31"/>
    <mergeCell ref="K31:L31"/>
    <mergeCell ref="G30:H30"/>
    <mergeCell ref="G31:H31"/>
    <mergeCell ref="A25:D25"/>
    <mergeCell ref="E25:F26"/>
    <mergeCell ref="I25:J26"/>
    <mergeCell ref="K25:L26"/>
    <mergeCell ref="B26:D26"/>
    <mergeCell ref="E28:F28"/>
    <mergeCell ref="I28:J28"/>
    <mergeCell ref="K28:L28"/>
    <mergeCell ref="E29:F29"/>
    <mergeCell ref="I29:J29"/>
    <mergeCell ref="K29:L29"/>
    <mergeCell ref="G28:H28"/>
    <mergeCell ref="G29:H29"/>
    <mergeCell ref="A27:D27"/>
    <mergeCell ref="E27:F27"/>
    <mergeCell ref="I27:J27"/>
    <mergeCell ref="K27:L27"/>
    <mergeCell ref="K19:L19"/>
    <mergeCell ref="I20:J20"/>
    <mergeCell ref="K20:L20"/>
    <mergeCell ref="G14:H14"/>
    <mergeCell ref="E13:F13"/>
    <mergeCell ref="I21:J21"/>
    <mergeCell ref="K21:L21"/>
    <mergeCell ref="A22:D22"/>
    <mergeCell ref="I19:J19"/>
    <mergeCell ref="E17:F17"/>
    <mergeCell ref="E18:F18"/>
    <mergeCell ref="E19:F19"/>
    <mergeCell ref="E20:F20"/>
    <mergeCell ref="E21:F21"/>
    <mergeCell ref="G17:H17"/>
    <mergeCell ref="G18:H18"/>
    <mergeCell ref="G19:H19"/>
    <mergeCell ref="E14:F14"/>
    <mergeCell ref="E15:F15"/>
    <mergeCell ref="I18:J18"/>
    <mergeCell ref="K18:L18"/>
    <mergeCell ref="K11:L11"/>
    <mergeCell ref="I12:J12"/>
    <mergeCell ref="K12:L12"/>
    <mergeCell ref="I13:J13"/>
    <mergeCell ref="K13:L13"/>
    <mergeCell ref="I14:J14"/>
    <mergeCell ref="K14:L14"/>
    <mergeCell ref="I11:J11"/>
    <mergeCell ref="I15:J15"/>
    <mergeCell ref="K15:L15"/>
    <mergeCell ref="I16:J16"/>
    <mergeCell ref="K16:L16"/>
    <mergeCell ref="I17:J17"/>
    <mergeCell ref="K17:L17"/>
    <mergeCell ref="E16:F16"/>
    <mergeCell ref="G15:H15"/>
    <mergeCell ref="G16:H16"/>
    <mergeCell ref="G11:H11"/>
    <mergeCell ref="G12:H12"/>
    <mergeCell ref="G13:H13"/>
    <mergeCell ref="A5:N5"/>
    <mergeCell ref="A10:D10"/>
    <mergeCell ref="E10:F10"/>
    <mergeCell ref="I10:J10"/>
    <mergeCell ref="K10:L10"/>
    <mergeCell ref="A8:D8"/>
    <mergeCell ref="B9:D9"/>
    <mergeCell ref="E11:F11"/>
    <mergeCell ref="E12:F12"/>
    <mergeCell ref="G8:H9"/>
    <mergeCell ref="E8:F9"/>
    <mergeCell ref="I8:J9"/>
    <mergeCell ref="K8:L9"/>
    <mergeCell ref="G10:H10"/>
  </mergeCells>
  <pageMargins left="0.7" right="0.7" top="0.75" bottom="0.75" header="0.3" footer="0.3"/>
  <pageSetup paperSize="9" scale="65" orientation="portrait" r:id="rId2"/>
  <ignoredErrors>
    <ignoredError sqref="M14:N21 M29:N38 M12:N12 M13" evalError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Opći dio</vt:lpstr>
      <vt:lpstr>Ph i rh po ekonomskoj klas. </vt:lpstr>
      <vt:lpstr>Rh i izdaci po izv fin,ek i pr </vt:lpstr>
      <vt:lpstr>Ph i rh po izvorima fin.</vt:lpstr>
      <vt:lpstr>'Ph i rh po ekonomskoj klas. '!Podrucje_ispisa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Racunovodja</dc:creator>
  <cp:lastModifiedBy>Racunovodja</cp:lastModifiedBy>
  <cp:lastPrinted>2023-03-31T08:13:44Z</cp:lastPrinted>
  <dcterms:created xsi:type="dcterms:W3CDTF">2023-02-09T09:40:18Z</dcterms:created>
  <dcterms:modified xsi:type="dcterms:W3CDTF">2023-05-24T11:24:06Z</dcterms:modified>
</cp:coreProperties>
</file>