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ja\Desktop\Poslovanje\Fin. izvještaji, izvršenje, rebalans, trogodišnji planovi, plan nabave\Izvršenje plana\Godišnji\2023\"/>
    </mc:Choice>
  </mc:AlternateContent>
  <bookViews>
    <workbookView xWindow="0" yWindow="0" windowWidth="28800" windowHeight="12210" tabRatio="939" firstSheet="1" activeTab="4"/>
  </bookViews>
  <sheets>
    <sheet name="SAŽETAK" sheetId="1" r:id="rId1"/>
    <sheet name="Račun prihoda i rashoda" sheetId="3" r:id="rId2"/>
    <sheet name="Rashodi i prihodi prema izvoru" sheetId="4" r:id="rId3"/>
    <sheet name="Rashodi prema funkcijskoj k " sheetId="5" r:id="rId4"/>
    <sheet name="Programska klasifikacija" sheetId="2" r:id="rId5"/>
    <sheet name="Posebni izvještaj-EU fondovi" sheetId="10" r:id="rId6"/>
    <sheet name="Stanje potraživanja, obveza" sheetId="9" r:id="rId7"/>
  </sheets>
  <definedNames>
    <definedName name="_xlnm.Print_Area" localSheetId="4">'Programska klasifikacija'!$A$1:$M$161</definedName>
    <definedName name="_xlnm.Print_Area" localSheetId="1">'Račun prihoda i rashoda'!$A$1:$P$123</definedName>
  </definedNames>
  <calcPr calcId="162913"/>
  <customWorkbookViews>
    <customWorkbookView name="Racunovodja - osobni prikaz" guid="{005C429F-8448-44DF-83AD-8A930973E873}" mergeInterval="0" personalView="1" maximized="1" xWindow="-8" yWindow="-8" windowWidth="1936" windowHeight="1048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4" l="1"/>
  <c r="P67" i="3"/>
  <c r="P60" i="3" l="1"/>
  <c r="P61" i="3"/>
  <c r="P62" i="3"/>
  <c r="P63" i="3"/>
  <c r="P64" i="3"/>
  <c r="P65" i="3"/>
  <c r="P66" i="3"/>
  <c r="P59" i="3"/>
  <c r="O68" i="3"/>
  <c r="O69" i="3"/>
  <c r="O67" i="3"/>
  <c r="O59" i="3"/>
  <c r="N19" i="1"/>
  <c r="I19" i="1"/>
  <c r="M14" i="2" l="1"/>
  <c r="M15" i="2"/>
  <c r="M16" i="2"/>
  <c r="M17" i="2"/>
  <c r="M18" i="2"/>
  <c r="I13" i="2"/>
  <c r="K13" i="2"/>
  <c r="G13" i="2"/>
  <c r="G84" i="2"/>
  <c r="G81" i="2"/>
  <c r="G74" i="2"/>
  <c r="I64" i="2"/>
  <c r="G64" i="2"/>
  <c r="G66" i="2"/>
  <c r="K66" i="2"/>
  <c r="K64" i="2" s="1"/>
  <c r="I66" i="2"/>
  <c r="I61" i="2"/>
  <c r="K61" i="2"/>
  <c r="G61" i="2"/>
  <c r="I57" i="2"/>
  <c r="K57" i="2"/>
  <c r="G57" i="2"/>
  <c r="I156" i="2"/>
  <c r="I153" i="2" s="1"/>
  <c r="K156" i="2"/>
  <c r="G156" i="2"/>
  <c r="G153" i="2" s="1"/>
  <c r="G141" i="2"/>
  <c r="G137" i="2" s="1"/>
  <c r="I151" i="2"/>
  <c r="K151" i="2"/>
  <c r="G151" i="2"/>
  <c r="I133" i="2"/>
  <c r="I131" i="2" s="1"/>
  <c r="K133" i="2"/>
  <c r="G133" i="2"/>
  <c r="G131" i="2" s="1"/>
  <c r="I128" i="2"/>
  <c r="K128" i="2"/>
  <c r="G128" i="2"/>
  <c r="I124" i="2"/>
  <c r="K124" i="2"/>
  <c r="G124" i="2"/>
  <c r="I119" i="2"/>
  <c r="I117" i="2" s="1"/>
  <c r="K119" i="2"/>
  <c r="G119" i="2"/>
  <c r="G117" i="2" s="1"/>
  <c r="I115" i="2"/>
  <c r="I113" i="2" s="1"/>
  <c r="K115" i="2"/>
  <c r="K113" i="2" s="1"/>
  <c r="G115" i="2"/>
  <c r="G113" i="2" s="1"/>
  <c r="I110" i="2"/>
  <c r="K110" i="2"/>
  <c r="G110" i="2"/>
  <c r="G108" i="2" s="1"/>
  <c r="G106" i="2"/>
  <c r="K106" i="2"/>
  <c r="I106" i="2"/>
  <c r="I99" i="2"/>
  <c r="K99" i="2"/>
  <c r="G99" i="2"/>
  <c r="G97" i="2"/>
  <c r="K97" i="2"/>
  <c r="I97" i="2"/>
  <c r="I92" i="2"/>
  <c r="I91" i="2" s="1"/>
  <c r="K92" i="2"/>
  <c r="G92" i="2"/>
  <c r="G91" i="2" s="1"/>
  <c r="G89" i="2"/>
  <c r="K89" i="2"/>
  <c r="I89" i="2"/>
  <c r="I84" i="2"/>
  <c r="K84" i="2"/>
  <c r="I82" i="2"/>
  <c r="K82" i="2"/>
  <c r="G82" i="2"/>
  <c r="G79" i="2"/>
  <c r="G78" i="2" s="1"/>
  <c r="K79" i="2"/>
  <c r="I79" i="2"/>
  <c r="G76" i="2"/>
  <c r="G73" i="2" s="1"/>
  <c r="K76" i="2"/>
  <c r="I76" i="2"/>
  <c r="K74" i="2"/>
  <c r="I74" i="2"/>
  <c r="I73" i="2" s="1"/>
  <c r="M13" i="2" l="1"/>
  <c r="M151" i="2"/>
  <c r="M156" i="2"/>
  <c r="K153" i="2"/>
  <c r="M84" i="2"/>
  <c r="M119" i="2"/>
  <c r="M133" i="2"/>
  <c r="G122" i="2"/>
  <c r="G121" i="2" s="1"/>
  <c r="K131" i="2"/>
  <c r="K122" i="2"/>
  <c r="I122" i="2"/>
  <c r="M124" i="2"/>
  <c r="G96" i="2"/>
  <c r="K117" i="2"/>
  <c r="I96" i="2"/>
  <c r="M99" i="2"/>
  <c r="K96" i="2"/>
  <c r="G55" i="2"/>
  <c r="K81" i="2"/>
  <c r="M106" i="2"/>
  <c r="M92" i="2"/>
  <c r="M97" i="2"/>
  <c r="I81" i="2"/>
  <c r="K91" i="2"/>
  <c r="M89" i="2"/>
  <c r="M82" i="2"/>
  <c r="M79" i="2"/>
  <c r="M76" i="2"/>
  <c r="K73" i="2"/>
  <c r="M74" i="2"/>
  <c r="I23" i="2"/>
  <c r="I21" i="2" s="1"/>
  <c r="K23" i="2"/>
  <c r="G23" i="2"/>
  <c r="I53" i="2"/>
  <c r="I51" i="2" s="1"/>
  <c r="K53" i="2"/>
  <c r="K51" i="2" s="1"/>
  <c r="G53" i="2"/>
  <c r="G51" i="2" s="1"/>
  <c r="I49" i="2"/>
  <c r="I47" i="2" s="1"/>
  <c r="K49" i="2"/>
  <c r="K47" i="2" s="1"/>
  <c r="G49" i="2"/>
  <c r="G47" i="2" s="1"/>
  <c r="G51" i="4"/>
  <c r="I51" i="4"/>
  <c r="K51" i="4"/>
  <c r="E51" i="4"/>
  <c r="N49" i="4"/>
  <c r="M49" i="4"/>
  <c r="K49" i="4"/>
  <c r="I49" i="4"/>
  <c r="G49" i="4"/>
  <c r="E49" i="4"/>
  <c r="M45" i="4"/>
  <c r="K45" i="4"/>
  <c r="N45" i="4" s="1"/>
  <c r="I45" i="4"/>
  <c r="G45" i="4"/>
  <c r="E45" i="4"/>
  <c r="K41" i="4"/>
  <c r="N41" i="4" s="1"/>
  <c r="I41" i="4"/>
  <c r="G41" i="4"/>
  <c r="E41" i="4"/>
  <c r="K39" i="4"/>
  <c r="I39" i="4"/>
  <c r="G39" i="4"/>
  <c r="E39" i="4"/>
  <c r="E35" i="4"/>
  <c r="K35" i="4"/>
  <c r="N35" i="4" s="1"/>
  <c r="I35" i="4"/>
  <c r="G35" i="4"/>
  <c r="G29" i="4"/>
  <c r="I29" i="4"/>
  <c r="K29" i="4"/>
  <c r="E29" i="4"/>
  <c r="G27" i="4"/>
  <c r="I27" i="4"/>
  <c r="K27" i="4"/>
  <c r="N27" i="4" s="1"/>
  <c r="E27" i="4"/>
  <c r="G23" i="4"/>
  <c r="I23" i="4"/>
  <c r="K23" i="4"/>
  <c r="E23" i="4"/>
  <c r="M23" i="4" s="1"/>
  <c r="N23" i="4"/>
  <c r="M19" i="4"/>
  <c r="N19" i="4"/>
  <c r="G19" i="4"/>
  <c r="I19" i="4"/>
  <c r="K19" i="4"/>
  <c r="E19" i="4"/>
  <c r="G17" i="4"/>
  <c r="I17" i="4"/>
  <c r="K17" i="4"/>
  <c r="E17" i="4"/>
  <c r="M17" i="4" s="1"/>
  <c r="N17" i="4"/>
  <c r="N13" i="4"/>
  <c r="N14" i="4"/>
  <c r="M13" i="4"/>
  <c r="G13" i="4"/>
  <c r="I13" i="4"/>
  <c r="K13" i="4"/>
  <c r="E13" i="4"/>
  <c r="K55" i="2" l="1"/>
  <c r="M57" i="2"/>
  <c r="I55" i="2"/>
  <c r="I20" i="2" s="1"/>
  <c r="M66" i="2"/>
  <c r="M51" i="2"/>
  <c r="M61" i="2"/>
  <c r="M53" i="2"/>
  <c r="M49" i="2"/>
  <c r="M41" i="4"/>
  <c r="N39" i="4"/>
  <c r="M35" i="4"/>
  <c r="M27" i="4"/>
  <c r="G46" i="4"/>
  <c r="G24" i="4"/>
  <c r="K48" i="3"/>
  <c r="K27" i="3"/>
  <c r="K29" i="3"/>
  <c r="K40" i="3"/>
  <c r="K55" i="3"/>
  <c r="K19" i="3"/>
  <c r="I114" i="3"/>
  <c r="K114" i="3"/>
  <c r="M114" i="3"/>
  <c r="G114" i="3"/>
  <c r="O109" i="3"/>
  <c r="P109" i="3"/>
  <c r="I107" i="3"/>
  <c r="K107" i="3"/>
  <c r="M107" i="3"/>
  <c r="G105" i="3"/>
  <c r="I104" i="3"/>
  <c r="K104" i="3"/>
  <c r="M104" i="3"/>
  <c r="G104" i="3"/>
  <c r="K98" i="3"/>
  <c r="K91" i="3"/>
  <c r="K89" i="3"/>
  <c r="K87" i="3"/>
  <c r="K81" i="3"/>
  <c r="K77" i="3"/>
  <c r="K75" i="3"/>
  <c r="K74" i="3"/>
  <c r="K72" i="3"/>
  <c r="K71" i="3"/>
  <c r="K70" i="3"/>
  <c r="K69" i="3"/>
  <c r="K65" i="3"/>
  <c r="K63" i="3"/>
  <c r="K61" i="3"/>
  <c r="I94" i="2" l="1"/>
  <c r="K94" i="2"/>
  <c r="G94" i="2"/>
  <c r="G71" i="2" s="1"/>
  <c r="K78" i="2"/>
  <c r="I78" i="2"/>
  <c r="G130" i="2"/>
  <c r="I24" i="1" l="1"/>
  <c r="I23" i="1" s="1"/>
  <c r="I13" i="5"/>
  <c r="K13" i="5"/>
  <c r="K12" i="5" s="1"/>
  <c r="M13" i="5"/>
  <c r="M12" i="5" s="1"/>
  <c r="G13" i="5"/>
  <c r="G12" i="5"/>
  <c r="O14" i="5"/>
  <c r="P14" i="5"/>
  <c r="I12" i="5"/>
  <c r="G39" i="1"/>
  <c r="G111" i="3"/>
  <c r="I121" i="3"/>
  <c r="I120" i="3" s="1"/>
  <c r="K121" i="3"/>
  <c r="K120" i="3" s="1"/>
  <c r="M121" i="3"/>
  <c r="M120" i="3" s="1"/>
  <c r="G121" i="3"/>
  <c r="P122" i="3"/>
  <c r="O122" i="3"/>
  <c r="G98" i="3"/>
  <c r="K64" i="3"/>
  <c r="I64" i="3"/>
  <c r="G65" i="3"/>
  <c r="G64" i="3" s="1"/>
  <c r="M64" i="3"/>
  <c r="O66" i="3"/>
  <c r="M46" i="3"/>
  <c r="I98" i="3"/>
  <c r="I71" i="3"/>
  <c r="I69" i="3"/>
  <c r="I61" i="3"/>
  <c r="I115" i="3"/>
  <c r="I97" i="3"/>
  <c r="I87" i="3"/>
  <c r="I81" i="3"/>
  <c r="I77" i="3"/>
  <c r="I75" i="3"/>
  <c r="I74" i="3"/>
  <c r="I19" i="3"/>
  <c r="I90" i="3" l="1"/>
  <c r="O12" i="5"/>
  <c r="P12" i="5"/>
  <c r="O13" i="5"/>
  <c r="P13" i="5"/>
  <c r="P121" i="3"/>
  <c r="P120" i="3"/>
  <c r="G120" i="3"/>
  <c r="O120" i="3" s="1"/>
  <c r="G24" i="1"/>
  <c r="G23" i="1" s="1"/>
  <c r="G22" i="1" s="1"/>
  <c r="G19" i="1"/>
  <c r="G18" i="1" s="1"/>
  <c r="O121" i="3" l="1"/>
  <c r="G25" i="1"/>
  <c r="N20" i="1"/>
  <c r="N21" i="1"/>
  <c r="N31" i="1"/>
  <c r="N32" i="1"/>
  <c r="N33" i="1"/>
  <c r="M20" i="1"/>
  <c r="M31" i="1"/>
  <c r="M32" i="1"/>
  <c r="M33" i="1"/>
  <c r="K24" i="4" l="1"/>
  <c r="K19" i="1"/>
  <c r="K18" i="1" s="1"/>
  <c r="K28" i="4"/>
  <c r="K24" i="1" l="1"/>
  <c r="I22" i="1"/>
  <c r="I18" i="1" l="1"/>
  <c r="I25" i="1" s="1"/>
  <c r="N24" i="1"/>
  <c r="K23" i="1"/>
  <c r="K22" i="1" s="1"/>
  <c r="K25" i="1" s="1"/>
  <c r="M157" i="2"/>
  <c r="M158" i="2"/>
  <c r="M159" i="2"/>
  <c r="K149" i="2"/>
  <c r="I149" i="2"/>
  <c r="K148" i="2"/>
  <c r="I148" i="2"/>
  <c r="M146" i="2"/>
  <c r="I145" i="2"/>
  <c r="K142" i="2"/>
  <c r="I142" i="2"/>
  <c r="M144" i="2"/>
  <c r="I130" i="2"/>
  <c r="M120" i="2"/>
  <c r="M118" i="2"/>
  <c r="M115" i="2"/>
  <c r="I108" i="2"/>
  <c r="K108" i="2"/>
  <c r="M111" i="2"/>
  <c r="M95" i="2"/>
  <c r="M104" i="2"/>
  <c r="M101" i="2"/>
  <c r="M85" i="2"/>
  <c r="M100" i="2"/>
  <c r="M98" i="2"/>
  <c r="M67" i="2"/>
  <c r="M68" i="2"/>
  <c r="M69" i="2"/>
  <c r="M70" i="2"/>
  <c r="E23" i="1"/>
  <c r="E43" i="4"/>
  <c r="E50" i="4"/>
  <c r="E48" i="4"/>
  <c r="E47" i="4"/>
  <c r="E46" i="4"/>
  <c r="E44" i="4"/>
  <c r="E42" i="4"/>
  <c r="E40" i="4"/>
  <c r="E38" i="4"/>
  <c r="E37" i="4"/>
  <c r="E36" i="4"/>
  <c r="E28" i="4"/>
  <c r="E26" i="4"/>
  <c r="E25" i="4"/>
  <c r="E24" i="4"/>
  <c r="E22" i="4"/>
  <c r="E21" i="4"/>
  <c r="E20" i="4"/>
  <c r="E18" i="4"/>
  <c r="E16" i="4"/>
  <c r="I141" i="2" l="1"/>
  <c r="I137" i="2" s="1"/>
  <c r="K141" i="2"/>
  <c r="I71" i="2"/>
  <c r="I63" i="2" s="1"/>
  <c r="M149" i="2"/>
  <c r="N22" i="1"/>
  <c r="N18" i="1"/>
  <c r="N23" i="1"/>
  <c r="M23" i="1"/>
  <c r="M117" i="2"/>
  <c r="E15" i="4"/>
  <c r="E14" i="4"/>
  <c r="G119" i="3"/>
  <c r="G117" i="3"/>
  <c r="G116" i="3"/>
  <c r="G115" i="3"/>
  <c r="G108" i="3"/>
  <c r="G107" i="3" s="1"/>
  <c r="G97" i="3"/>
  <c r="G96" i="3"/>
  <c r="G95" i="3"/>
  <c r="G94" i="3"/>
  <c r="G93" i="3"/>
  <c r="G91" i="3"/>
  <c r="G89" i="3"/>
  <c r="G88" i="3"/>
  <c r="G87" i="3"/>
  <c r="G86" i="3"/>
  <c r="G85" i="3"/>
  <c r="G84" i="3"/>
  <c r="G83" i="3"/>
  <c r="G82" i="3"/>
  <c r="G81" i="3"/>
  <c r="G79" i="3"/>
  <c r="G78" i="3"/>
  <c r="G77" i="3"/>
  <c r="G76" i="3"/>
  <c r="G75" i="3"/>
  <c r="G74" i="3"/>
  <c r="G72" i="3"/>
  <c r="G71" i="3"/>
  <c r="G70" i="3"/>
  <c r="G69" i="3"/>
  <c r="G63" i="3"/>
  <c r="G61" i="3"/>
  <c r="G55" i="3"/>
  <c r="G50" i="3"/>
  <c r="G48" i="3"/>
  <c r="G43" i="3"/>
  <c r="G40" i="3"/>
  <c r="G35" i="3"/>
  <c r="G34" i="3"/>
  <c r="G29" i="3"/>
  <c r="G27" i="3"/>
  <c r="G24" i="3"/>
  <c r="G21" i="3"/>
  <c r="G19" i="3"/>
  <c r="E24" i="1"/>
  <c r="M24" i="1" s="1"/>
  <c r="E21" i="1"/>
  <c r="M21" i="1" s="1"/>
  <c r="E19" i="1"/>
  <c r="E18" i="1" s="1"/>
  <c r="M141" i="2" l="1"/>
  <c r="K137" i="2"/>
  <c r="M18" i="1"/>
  <c r="E22" i="1"/>
  <c r="M22" i="1" s="1"/>
  <c r="M19" i="1"/>
  <c r="G118" i="3"/>
  <c r="G106" i="3"/>
  <c r="G102" i="3"/>
  <c r="G100" i="3"/>
  <c r="G99" i="3" s="1"/>
  <c r="G90" i="3"/>
  <c r="G80" i="3"/>
  <c r="G73" i="3"/>
  <c r="G68" i="3"/>
  <c r="G62" i="3"/>
  <c r="G60" i="3"/>
  <c r="G54" i="3"/>
  <c r="G53" i="3" s="1"/>
  <c r="G52" i="3" s="1"/>
  <c r="G46" i="3"/>
  <c r="G44" i="3" s="1"/>
  <c r="G41" i="3"/>
  <c r="G39" i="3"/>
  <c r="G33" i="3"/>
  <c r="G31" i="3" s="1"/>
  <c r="G25" i="3"/>
  <c r="G23" i="3"/>
  <c r="G17" i="3"/>
  <c r="G15" i="3"/>
  <c r="E25" i="1" l="1"/>
  <c r="G37" i="3"/>
  <c r="G113" i="3"/>
  <c r="G110" i="3" s="1"/>
  <c r="G67" i="3"/>
  <c r="G59" i="3"/>
  <c r="G13" i="3"/>
  <c r="N16" i="4"/>
  <c r="M15" i="4"/>
  <c r="M26" i="2"/>
  <c r="G12" i="3" l="1"/>
  <c r="G56" i="3" s="1"/>
  <c r="M73" i="2"/>
  <c r="G58" i="3"/>
  <c r="G123" i="3" s="1"/>
  <c r="I39" i="1"/>
  <c r="K39" i="1"/>
  <c r="E39" i="1"/>
  <c r="M39" i="1" l="1"/>
  <c r="N39" i="1"/>
  <c r="M25" i="1" l="1"/>
  <c r="M102" i="3"/>
  <c r="K25" i="3" l="1"/>
  <c r="K17" i="3"/>
  <c r="M17" i="3"/>
  <c r="I25" i="3"/>
  <c r="M25" i="3"/>
  <c r="P17" i="3" l="1"/>
  <c r="K46" i="3"/>
  <c r="P35" i="3"/>
  <c r="O27" i="3"/>
  <c r="G40" i="1" l="1"/>
  <c r="M14" i="4" l="1"/>
  <c r="G63" i="2" l="1"/>
  <c r="I118" i="3"/>
  <c r="I111" i="3"/>
  <c r="I106" i="3"/>
  <c r="I102" i="3"/>
  <c r="I100" i="3"/>
  <c r="I99" i="3" s="1"/>
  <c r="I80" i="3"/>
  <c r="I73" i="3"/>
  <c r="I68" i="3"/>
  <c r="I62" i="3"/>
  <c r="I60" i="3"/>
  <c r="I54" i="3"/>
  <c r="I53" i="3" s="1"/>
  <c r="I52" i="3" s="1"/>
  <c r="I46" i="3"/>
  <c r="I44" i="3" s="1"/>
  <c r="I41" i="3"/>
  <c r="I39" i="3"/>
  <c r="I33" i="3"/>
  <c r="I31" i="3" s="1"/>
  <c r="I23" i="3"/>
  <c r="I17" i="3"/>
  <c r="I15" i="3"/>
  <c r="G136" i="2" l="1"/>
  <c r="I37" i="3"/>
  <c r="I113" i="3"/>
  <c r="I110" i="3" s="1"/>
  <c r="I59" i="3"/>
  <c r="I67" i="3"/>
  <c r="I13" i="3"/>
  <c r="G21" i="2"/>
  <c r="G20" i="2" s="1"/>
  <c r="I12" i="3" l="1"/>
  <c r="I56" i="3" s="1"/>
  <c r="I58" i="3"/>
  <c r="I123" i="3" s="1"/>
  <c r="G19" i="2"/>
  <c r="K40" i="1"/>
  <c r="M148" i="2"/>
  <c r="M143" i="2"/>
  <c r="K130" i="2"/>
  <c r="M128" i="2" s="1"/>
  <c r="O55" i="3" l="1"/>
  <c r="P55" i="3"/>
  <c r="M147" i="2"/>
  <c r="M150" i="2"/>
  <c r="M145" i="2"/>
  <c r="M132" i="2"/>
  <c r="M123" i="2"/>
  <c r="M114" i="2"/>
  <c r="M109" i="2"/>
  <c r="M65" i="2"/>
  <c r="M56" i="2"/>
  <c r="P108" i="3"/>
  <c r="O108" i="3"/>
  <c r="K106" i="3"/>
  <c r="P105" i="3"/>
  <c r="O105" i="3"/>
  <c r="K102" i="3"/>
  <c r="M68" i="3"/>
  <c r="O25" i="3"/>
  <c r="P107" i="3" l="1"/>
  <c r="M106" i="3"/>
  <c r="O107" i="3"/>
  <c r="P104" i="3"/>
  <c r="O104" i="3"/>
  <c r="P29" i="3"/>
  <c r="P27" i="3"/>
  <c r="P106" i="3" l="1"/>
  <c r="O106" i="3"/>
  <c r="P102" i="3"/>
  <c r="O102" i="3"/>
  <c r="O17" i="3"/>
  <c r="O35" i="3"/>
  <c r="K33" i="3"/>
  <c r="K31" i="3" s="1"/>
  <c r="M33" i="3"/>
  <c r="O29" i="3"/>
  <c r="P25" i="3" l="1"/>
  <c r="M116" i="2"/>
  <c r="M110" i="2"/>
  <c r="M113" i="2" l="1"/>
  <c r="P43" i="3" l="1"/>
  <c r="O43" i="3"/>
  <c r="P40" i="3"/>
  <c r="O40" i="3"/>
  <c r="O48" i="3"/>
  <c r="P48" i="3"/>
  <c r="O50" i="3"/>
  <c r="P50" i="3"/>
  <c r="P34" i="3"/>
  <c r="O34" i="3"/>
  <c r="P24" i="3"/>
  <c r="O24" i="3"/>
  <c r="O115" i="3"/>
  <c r="P115" i="3"/>
  <c r="O116" i="3"/>
  <c r="P116" i="3"/>
  <c r="O117" i="3"/>
  <c r="P117" i="3"/>
  <c r="O119" i="3"/>
  <c r="P119" i="3"/>
  <c r="P91" i="3"/>
  <c r="O91" i="3"/>
  <c r="O94" i="3"/>
  <c r="P94" i="3"/>
  <c r="O95" i="3"/>
  <c r="P95" i="3"/>
  <c r="O96" i="3"/>
  <c r="P96" i="3"/>
  <c r="O97" i="3"/>
  <c r="P97" i="3"/>
  <c r="O98" i="3"/>
  <c r="P98" i="3"/>
  <c r="O101" i="3"/>
  <c r="P101" i="3"/>
  <c r="P93" i="3"/>
  <c r="O93" i="3"/>
  <c r="O61" i="3"/>
  <c r="O63" i="3"/>
  <c r="O65" i="3"/>
  <c r="P69" i="3"/>
  <c r="O70" i="3"/>
  <c r="P70" i="3"/>
  <c r="O71" i="3"/>
  <c r="P71" i="3"/>
  <c r="O72" i="3"/>
  <c r="P72" i="3"/>
  <c r="O74" i="3"/>
  <c r="P74" i="3"/>
  <c r="O75" i="3"/>
  <c r="P75" i="3"/>
  <c r="O76" i="3"/>
  <c r="P76" i="3"/>
  <c r="O77" i="3"/>
  <c r="P77" i="3"/>
  <c r="O78" i="3"/>
  <c r="P78" i="3"/>
  <c r="O79" i="3"/>
  <c r="P79" i="3"/>
  <c r="O81" i="3"/>
  <c r="P81" i="3"/>
  <c r="O82" i="3"/>
  <c r="P82" i="3"/>
  <c r="O83" i="3"/>
  <c r="P83" i="3"/>
  <c r="O84" i="3"/>
  <c r="P84" i="3"/>
  <c r="O85" i="3"/>
  <c r="P85" i="3"/>
  <c r="O86" i="3"/>
  <c r="P86" i="3"/>
  <c r="O87" i="3"/>
  <c r="P87" i="3"/>
  <c r="O88" i="3"/>
  <c r="P88" i="3"/>
  <c r="O89" i="3"/>
  <c r="P89" i="3"/>
  <c r="M130" i="2"/>
  <c r="M135" i="2"/>
  <c r="M134" i="2"/>
  <c r="M126" i="2"/>
  <c r="M127" i="2"/>
  <c r="M129" i="2"/>
  <c r="M125" i="2"/>
  <c r="M112" i="2"/>
  <c r="M77" i="2"/>
  <c r="M80" i="2"/>
  <c r="M83" i="2"/>
  <c r="M86" i="2"/>
  <c r="M87" i="2"/>
  <c r="M88" i="2"/>
  <c r="M90" i="2"/>
  <c r="M93" i="2"/>
  <c r="M102" i="2"/>
  <c r="M103" i="2"/>
  <c r="M105" i="2"/>
  <c r="M107" i="2"/>
  <c r="M75" i="2"/>
  <c r="M152" i="2"/>
  <c r="M142" i="2"/>
  <c r="M160" i="2"/>
  <c r="M59" i="2"/>
  <c r="M60" i="2"/>
  <c r="M62" i="2"/>
  <c r="M58" i="2"/>
  <c r="M54" i="2"/>
  <c r="M50" i="2"/>
  <c r="P19" i="3"/>
  <c r="P21" i="3"/>
  <c r="O19" i="3"/>
  <c r="O21" i="3"/>
  <c r="O16" i="3"/>
  <c r="P16" i="3"/>
  <c r="K71" i="2" l="1"/>
  <c r="K63" i="2" s="1"/>
  <c r="N25" i="1"/>
  <c r="M47" i="2"/>
  <c r="M153" i="2"/>
  <c r="M137" i="2"/>
  <c r="M131" i="2"/>
  <c r="K121" i="2"/>
  <c r="M122" i="2"/>
  <c r="I121" i="2"/>
  <c r="M108" i="2"/>
  <c r="M96" i="2"/>
  <c r="M94" i="2"/>
  <c r="M91" i="2"/>
  <c r="M81" i="2"/>
  <c r="M78" i="2"/>
  <c r="M64" i="2"/>
  <c r="M55" i="2"/>
  <c r="I136" i="2"/>
  <c r="K136" i="2"/>
  <c r="M24" i="2"/>
  <c r="M25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I19" i="2" l="1"/>
  <c r="I40" i="1"/>
  <c r="N40" i="1" s="1"/>
  <c r="M71" i="2"/>
  <c r="M136" i="2"/>
  <c r="M121" i="2"/>
  <c r="M63" i="2"/>
  <c r="M28" i="4"/>
  <c r="K21" i="2" l="1"/>
  <c r="M21" i="2" s="1"/>
  <c r="M23" i="2"/>
  <c r="M51" i="4"/>
  <c r="M38" i="4"/>
  <c r="N38" i="4"/>
  <c r="M40" i="4"/>
  <c r="N40" i="4"/>
  <c r="M42" i="4"/>
  <c r="N42" i="4"/>
  <c r="M43" i="4"/>
  <c r="N43" i="4"/>
  <c r="M44" i="4"/>
  <c r="N44" i="4"/>
  <c r="M46" i="4"/>
  <c r="N46" i="4"/>
  <c r="M47" i="4"/>
  <c r="N47" i="4"/>
  <c r="M48" i="4"/>
  <c r="N48" i="4"/>
  <c r="M50" i="4"/>
  <c r="N50" i="4"/>
  <c r="N37" i="4"/>
  <c r="M37" i="4"/>
  <c r="N36" i="4"/>
  <c r="M36" i="4"/>
  <c r="M16" i="4"/>
  <c r="M18" i="4"/>
  <c r="N18" i="4"/>
  <c r="M20" i="4"/>
  <c r="N20" i="4"/>
  <c r="M21" i="4"/>
  <c r="N21" i="4"/>
  <c r="M22" i="4"/>
  <c r="N22" i="4"/>
  <c r="M24" i="4"/>
  <c r="N24" i="4"/>
  <c r="M25" i="4"/>
  <c r="N25" i="4"/>
  <c r="M26" i="4"/>
  <c r="N26" i="4"/>
  <c r="N28" i="4"/>
  <c r="N15" i="4"/>
  <c r="K20" i="2" l="1"/>
  <c r="K19" i="2" s="1"/>
  <c r="M29" i="4"/>
  <c r="N29" i="4"/>
  <c r="N51" i="4"/>
  <c r="M19" i="2" l="1"/>
  <c r="M20" i="2"/>
  <c r="K100" i="3"/>
  <c r="K99" i="3" s="1"/>
  <c r="M100" i="3"/>
  <c r="K111" i="3"/>
  <c r="K118" i="3"/>
  <c r="M118" i="3"/>
  <c r="K90" i="3"/>
  <c r="K60" i="3"/>
  <c r="M60" i="3"/>
  <c r="K62" i="3"/>
  <c r="M62" i="3"/>
  <c r="O64" i="3"/>
  <c r="K68" i="3"/>
  <c r="K73" i="3"/>
  <c r="M73" i="3"/>
  <c r="K80" i="3"/>
  <c r="M80" i="3"/>
  <c r="M90" i="3"/>
  <c r="M59" i="3" l="1"/>
  <c r="K113" i="3"/>
  <c r="K110" i="3" s="1"/>
  <c r="K59" i="3"/>
  <c r="M113" i="3"/>
  <c r="O114" i="3"/>
  <c r="P114" i="3"/>
  <c r="K67" i="3"/>
  <c r="O90" i="3"/>
  <c r="P90" i="3"/>
  <c r="O73" i="3"/>
  <c r="P73" i="3"/>
  <c r="M111" i="3"/>
  <c r="O112" i="3"/>
  <c r="P112" i="3"/>
  <c r="O100" i="3"/>
  <c r="P100" i="3"/>
  <c r="P80" i="3"/>
  <c r="O80" i="3"/>
  <c r="O118" i="3"/>
  <c r="P118" i="3"/>
  <c r="O62" i="3"/>
  <c r="O60" i="3"/>
  <c r="M99" i="3"/>
  <c r="M67" i="3"/>
  <c r="P68" i="3"/>
  <c r="K54" i="3"/>
  <c r="K53" i="3" s="1"/>
  <c r="K52" i="3" s="1"/>
  <c r="M54" i="3"/>
  <c r="K44" i="3"/>
  <c r="K41" i="3"/>
  <c r="M41" i="3"/>
  <c r="K39" i="3"/>
  <c r="M39" i="3"/>
  <c r="K23" i="3"/>
  <c r="M23" i="3"/>
  <c r="K15" i="3"/>
  <c r="M15" i="3"/>
  <c r="M110" i="3" l="1"/>
  <c r="P110" i="3" s="1"/>
  <c r="K13" i="3"/>
  <c r="M13" i="3"/>
  <c r="M58" i="3"/>
  <c r="K58" i="3"/>
  <c r="K123" i="3" s="1"/>
  <c r="P23" i="3"/>
  <c r="O99" i="3"/>
  <c r="P99" i="3"/>
  <c r="O23" i="3"/>
  <c r="M31" i="3"/>
  <c r="P33" i="3"/>
  <c r="O33" i="3"/>
  <c r="P54" i="3"/>
  <c r="O54" i="3"/>
  <c r="M37" i="3"/>
  <c r="P39" i="3"/>
  <c r="O39" i="3"/>
  <c r="P111" i="3"/>
  <c r="O111" i="3"/>
  <c r="P41" i="3"/>
  <c r="O41" i="3"/>
  <c r="O15" i="3"/>
  <c r="P15" i="3"/>
  <c r="M44" i="3"/>
  <c r="O46" i="3"/>
  <c r="P46" i="3"/>
  <c r="O113" i="3"/>
  <c r="P113" i="3"/>
  <c r="M53" i="3"/>
  <c r="M52" i="3" s="1"/>
  <c r="K37" i="3"/>
  <c r="E40" i="1"/>
  <c r="M40" i="1" s="1"/>
  <c r="K12" i="3" l="1"/>
  <c r="K56" i="3" s="1"/>
  <c r="M123" i="3"/>
  <c r="M12" i="3"/>
  <c r="M56" i="3" s="1"/>
  <c r="P13" i="3"/>
  <c r="O13" i="3"/>
  <c r="O110" i="3"/>
  <c r="P37" i="3"/>
  <c r="O37" i="3"/>
  <c r="P44" i="3"/>
  <c r="O44" i="3"/>
  <c r="P31" i="3"/>
  <c r="O31" i="3"/>
  <c r="P58" i="3"/>
  <c r="P53" i="3"/>
  <c r="O53" i="3"/>
  <c r="O58" i="3"/>
  <c r="P123" i="3" l="1"/>
  <c r="O123" i="3"/>
  <c r="P12" i="3"/>
  <c r="O12" i="3"/>
  <c r="P52" i="3"/>
  <c r="O52" i="3"/>
  <c r="O56" i="3" l="1"/>
  <c r="P56" i="3"/>
</calcChain>
</file>

<file path=xl/sharedStrings.xml><?xml version="1.0" encoding="utf-8"?>
<sst xmlns="http://schemas.openxmlformats.org/spreadsheetml/2006/main" count="460" uniqueCount="264">
  <si>
    <t>I. OPĆI DIO</t>
  </si>
  <si>
    <t>PRIHODI I RASHODI</t>
  </si>
  <si>
    <t>6 Prihodi poslovanja</t>
  </si>
  <si>
    <t>7 Prihodi od prodaje nefinancijske imovine</t>
  </si>
  <si>
    <t>PRIHODI UKUPNO</t>
  </si>
  <si>
    <t>3 Rashodi poslovanja</t>
  </si>
  <si>
    <t>4 Rashodi za nabavu nefinancijske imovine</t>
  </si>
  <si>
    <t>RASHODI UKUPNO</t>
  </si>
  <si>
    <t>Razlika – višak/ manjak</t>
  </si>
  <si>
    <t>5 Izdaci za financijsku imovinu i otplate zajmova</t>
  </si>
  <si>
    <t>8 Primici od financijske imovine i zaduživanja</t>
  </si>
  <si>
    <t>Neto zaduživanje/ financiranje</t>
  </si>
  <si>
    <t>Višak/ manjak iz prethodnih godina</t>
  </si>
  <si>
    <t>9 Preneseni višak prethodnih godina</t>
  </si>
  <si>
    <t>C. RASPOLOŽIVA SREDSTVA IZ PRETHODIH GODINA</t>
  </si>
  <si>
    <t>Višak/ manjak + neto financiranje + raspoloživa sredstva iz prethodnih godina</t>
  </si>
  <si>
    <t>Ostvarenje/ izvršenje 2022.</t>
  </si>
  <si>
    <t>Antuna Gustava Matoša 40, 23000 Zadar</t>
  </si>
  <si>
    <t>OIB: 91757782000 // RKP: 19773</t>
  </si>
  <si>
    <t>Hotelijersko – turistička i ugostiteljska škola Zadar</t>
  </si>
  <si>
    <t>Glava: 030-05 SREDNJOŠKOLSKO OBRAZOVANJE</t>
  </si>
  <si>
    <t>Aktivnost: A2204-01 Djelatnost srednjih škola</t>
  </si>
  <si>
    <t>Izvor financiranje: 451 F.P. i dodatni udio u porezu na dohodak</t>
  </si>
  <si>
    <t>Brojčana oznaka i naziv računa prihoda i rashoda</t>
  </si>
  <si>
    <t>Pomoći iz inozemstva i od subjekata unutar općeg proračuna</t>
  </si>
  <si>
    <t>Pomoći od izvanproračunskih korisnika</t>
  </si>
  <si>
    <t>Tekuće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</si>
  <si>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</si>
  <si>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</si>
  <si>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</si>
  <si>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</si>
  <si>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</si>
  <si>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</si>
  <si>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</t>
  </si>
  <si>
    <t>Prihodi od pruženih usluga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</si>
  <si>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</si>
  <si>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</si>
  <si>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</si>
  <si>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</si>
  <si>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VLASTITI IZVORI</t>
  </si>
  <si>
    <t>Pomoći temeljem prijenosa EU sredstava</t>
  </si>
  <si>
    <t>Prihodi od prodaje proizvoda i robe te pruženih usluga i prihodi od donacija</t>
  </si>
  <si>
    <t>Donacije od pravnih i fizičkih osoba izvan općeg proračuna</t>
  </si>
  <si>
    <t>Prihodi iz nadležnog proračuna za financiranje rashoda za nabavu nefinancijske imovine</t>
  </si>
  <si>
    <t>Rezultat poslovanja</t>
  </si>
  <si>
    <t>Višak prihoda</t>
  </si>
  <si>
    <t>Višak/manjak prihoda</t>
  </si>
  <si>
    <t>Izvršenje 2022.</t>
  </si>
  <si>
    <t>Indeks</t>
  </si>
  <si>
    <t>PRIHODI POSLOVANJA</t>
  </si>
  <si>
    <t>RASHODI POSLOVANJA</t>
  </si>
  <si>
    <t>SVEUKUPNO RASHODI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</si>
  <si>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</si>
  <si>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</si>
  <si>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</si>
  <si>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</si>
  <si>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</si>
  <si>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</si>
  <si>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</si>
  <si>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</si>
  <si>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</si>
  <si>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</si>
  <si>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</si>
  <si>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</si>
  <si>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</si>
  <si>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</si>
  <si>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</si>
  <si>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</si>
  <si>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</si>
  <si>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</si>
  <si>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</si>
  <si>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</si>
  <si>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</si>
  <si>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</si>
  <si>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</si>
  <si>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</si>
  <si>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</si>
  <si>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</si>
  <si>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</si>
  <si>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</si>
  <si>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</si>
  <si>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</si>
  <si>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</si>
  <si>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</si>
  <si>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</si>
  <si>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Zatezne kamate</t>
  </si>
  <si>
    <t>Rashodi za nabavu neproizvedene dugotrajne imovine</t>
  </si>
  <si>
    <t>Nematerijalna imovina</t>
  </si>
  <si>
    <t>Rashodi za nabavu proizvedene dugotrajne imovine</t>
  </si>
  <si>
    <t>Postrojenja i oprema</t>
  </si>
  <si>
    <t>Oprema za održavanje i zaštitu</t>
  </si>
  <si>
    <t>Uređaji, strojevi i oprema za ostale namjene</t>
  </si>
  <si>
    <t>Knjige, umjetnička djela i ostale izložbene vrijednosti</t>
  </si>
  <si>
    <t>Knjige</t>
  </si>
  <si>
    <t>RASHODI ZA NABAVU NEFINANCIJSKE IMOVINE</t>
  </si>
  <si>
    <t>Ostale naknade troškova zaposlenima</t>
  </si>
  <si>
    <t>Materijal i sirovine</t>
  </si>
  <si>
    <t>Komunalne usluge</t>
  </si>
  <si>
    <t>Usluge promidžbe i informiranja</t>
  </si>
  <si>
    <t>Članarine i norme</t>
  </si>
  <si>
    <t>Ostali financijski rashodi</t>
  </si>
  <si>
    <t>Uredska oprema i namještaj</t>
  </si>
  <si>
    <t>Naknade za prijevoz na posao i s posla</t>
  </si>
  <si>
    <t>Materijali  i sirovine</t>
  </si>
  <si>
    <t>Materijali i dijelovi za tekuće i investicijsko održavanje</t>
  </si>
  <si>
    <t>Računala i računalna oprema</t>
  </si>
  <si>
    <t>Doprinosi za OZO</t>
  </si>
  <si>
    <t>Naknada za prijevoz</t>
  </si>
  <si>
    <t>Kapitalni projekt: K2204-02 Opremanje poslovnih prostorija</t>
  </si>
  <si>
    <t>Tekući projekt: T2204-04 Hitne intervencije u srednjim školama</t>
  </si>
  <si>
    <t>Aktivnost: A2204-07 Administracija i upravljanje</t>
  </si>
  <si>
    <t>Izvor financiranje: 51036 Državni proračun</t>
  </si>
  <si>
    <t>Novčana nak. posl. zbog nezapošljavanje osobe s inv.</t>
  </si>
  <si>
    <t>Program: 2204 SREDNJE ŠKOLSTVO – STANDARD</t>
  </si>
  <si>
    <t>Program: 2205 SREDNJE ŠKOLSTVO – IZNAD STANDARD</t>
  </si>
  <si>
    <t>Aktivnost: A2205-01 Javne potrebe u prosvjeti - korisnici u SŠ</t>
  </si>
  <si>
    <t>Izvor financiranje: 110 Opći prihodi i primici</t>
  </si>
  <si>
    <t>Aktivnost: A2205-12 Podizanje kvalitete i standarda u školstvu</t>
  </si>
  <si>
    <t>Izvor financiranje: 5103 Državni proračun</t>
  </si>
  <si>
    <t>Plaće po sudskim presudama</t>
  </si>
  <si>
    <t>Naknade predst. i izvršnim tijelima povjerenstav i sl.</t>
  </si>
  <si>
    <t>Knjge</t>
  </si>
  <si>
    <t>Izvor financiranje: 41 Prihodi za posebne namjene</t>
  </si>
  <si>
    <t>Izvor financiranje: 61 Tekuće donacije – korisnici</t>
  </si>
  <si>
    <t>Izvor financiranje: 31 Vlastiti prihodi - korisnici</t>
  </si>
  <si>
    <t>Izvor financiranje: 42035 Višak prihoda poslovanja</t>
  </si>
  <si>
    <t>Izvor financiranje: 51037 Državni proračun</t>
  </si>
  <si>
    <t>Aktivnost: A2205-22 Natjecanja i smotre u SŠ</t>
  </si>
  <si>
    <t>Ostali nespomenuti rashodi</t>
  </si>
  <si>
    <t>Program: 4301 RAZVOJNI PROJEKT EU</t>
  </si>
  <si>
    <t>Tekući projekt: T4301-67 Projekt Pomoćnici u nastavi</t>
  </si>
  <si>
    <t>Doprinosi za plaće</t>
  </si>
  <si>
    <t>Program: 4302 PROJEKTI EU</t>
  </si>
  <si>
    <t>Program: 4306 NACIONALNI EU PROJEKTI</t>
  </si>
  <si>
    <t>Tekući projekt: T4306-03 Inkluzija – korak bliže društvu bez prepreka 2021./2022.</t>
  </si>
  <si>
    <t>Naknade za prijevoz</t>
  </si>
  <si>
    <t>Tekući projekt: T4306-16 Projekt Erasmus+ Različiti zajedno</t>
  </si>
  <si>
    <t>Tekući projekt: T4302-90 Projekt Erasmus+ Luna</t>
  </si>
  <si>
    <t>Stručna usavršavanja</t>
  </si>
  <si>
    <t xml:space="preserve">Prihodi za posebne namjene </t>
  </si>
  <si>
    <t>UKUPNO</t>
  </si>
  <si>
    <t>Opći prihodi i primici</t>
  </si>
  <si>
    <t>Višak/manjak prihoda - ZŽ</t>
  </si>
  <si>
    <t>Predfinanciranje iz ŽP</t>
  </si>
  <si>
    <t>Vlastiti prihodi - korisnici</t>
  </si>
  <si>
    <t>Višak/manjak prihoda korisnici</t>
  </si>
  <si>
    <t>F.P. i dod. udio u por. na dohodak</t>
  </si>
  <si>
    <t>Državni proračun</t>
  </si>
  <si>
    <t>Proračun JLS</t>
  </si>
  <si>
    <t>Pomoći iz inozemstva</t>
  </si>
  <si>
    <t>Tekuće donacije - korisnici</t>
  </si>
  <si>
    <t>PRIHODI PO IZVORIMA FINANCIRANJA</t>
  </si>
  <si>
    <t>šifra:</t>
  </si>
  <si>
    <t>Izvor financiranja:</t>
  </si>
  <si>
    <t>IF 42</t>
  </si>
  <si>
    <t>IF 51</t>
  </si>
  <si>
    <t>IF 54</t>
  </si>
  <si>
    <t>IF 19</t>
  </si>
  <si>
    <t>IF 11</t>
  </si>
  <si>
    <t>Prijenosi između proračunskih korisnika istog proračuna</t>
  </si>
  <si>
    <t>Tekući prijenosi između proračunskih korisnika istog proračuna temeljem prijenosa EU sredstava</t>
  </si>
  <si>
    <t>Prihodi od novčane naknade poslodavca zbog nezapošljavanja osoba s invaliditetom</t>
  </si>
  <si>
    <t>Tekući prijenosi između proračunskih korisnika istog proračuna</t>
  </si>
  <si>
    <t>Naknade građanima i kućanstvima na temelju osiguranja i druge nakanade</t>
  </si>
  <si>
    <t>Ostale naknade građanima i kućanstvima iz proračuna</t>
  </si>
  <si>
    <t>Naknade građanima i kućanstvima u novcu</t>
  </si>
  <si>
    <t>Ostali rashodi</t>
  </si>
  <si>
    <t>Tekuće donacije u novcu</t>
  </si>
  <si>
    <t xml:space="preserve">Izvor financiranje: 190062, 195062, 110, 51038, 540099 - </t>
  </si>
  <si>
    <t>Dopirnosi na plaće</t>
  </si>
  <si>
    <r>
      <t>5/2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</si>
  <si>
    <r>
      <t>5/3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</si>
  <si>
    <t>Predfinanciranje iz ŽP, Opći prihodi i primici Državni proračun, Pomoći iz</t>
  </si>
  <si>
    <t>inozemstva</t>
  </si>
  <si>
    <r>
      <t>5/4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</si>
  <si>
    <t>Tekući financijski plan 2023.</t>
  </si>
  <si>
    <t>Ostvarenje/ izvršenje 2023.</t>
  </si>
  <si>
    <t>Tekući plan 2023.</t>
  </si>
  <si>
    <t>Izvršenje 2023.</t>
  </si>
  <si>
    <t>Uredski materijal</t>
  </si>
  <si>
    <t>Naknade članovima povjerenstva</t>
  </si>
  <si>
    <t>Aktivnost: A2205-34 Projekt e-škole</t>
  </si>
  <si>
    <t>110 Opći prihodi i primici</t>
  </si>
  <si>
    <t>Intelektualne usluge</t>
  </si>
  <si>
    <t>Aktivnost: A2205-37 Zalihe menstrualnih higijenskih potrepština</t>
  </si>
  <si>
    <t>Izvor financiranje: 511904 Državni proračun</t>
  </si>
  <si>
    <t xml:space="preserve">Izvor financiranje: 540231, 42035, 31 </t>
  </si>
  <si>
    <t>Pomoći iz inozemstva, višak prihoda poslovanja, vlastiti prihodi - korisnici</t>
  </si>
  <si>
    <t>IF 31</t>
  </si>
  <si>
    <t>Sreučna usavešavanja</t>
  </si>
  <si>
    <t>Na temelju Zakona o proračunu ("Narodne novine" broj 144/21) i Pravilnika o polugodišnjem i godišnjem izvještaju o izvršenju proračuna i financijskog plana ("Narodne novine" broj 85/23) HOTELIJERSKO – TURISTIČKA I UGOSTITELJSKA ŠKOLA ZADAR podnosi školskom odboru:</t>
  </si>
  <si>
    <t xml:space="preserve">Izvorni plan/ rebalans </t>
  </si>
  <si>
    <t>A. SAŽETAK RAČUNA PRIHODA I RASHODA</t>
  </si>
  <si>
    <t>B. SAŽETAK RAČUNA FINANCIRANJA</t>
  </si>
  <si>
    <t>Izvorni plan/ rebalans 2023.</t>
  </si>
  <si>
    <t>UKUPNO PRIHODI + VIŠAK KORIŠTEN ZA POKRIĆE RASHODA</t>
  </si>
  <si>
    <t>Doprinosi za obvezno osiguranje u slučaju nezaposlenosti</t>
  </si>
  <si>
    <t>Rashodi za dodatna ulaganja na nefinancijskoj imovini</t>
  </si>
  <si>
    <t>Dodatna ulaganja na građevinskim objektima</t>
  </si>
  <si>
    <t>Brojčana oznaka i naziv</t>
  </si>
  <si>
    <t>09</t>
  </si>
  <si>
    <t>Obrazovanje</t>
  </si>
  <si>
    <t>Srednjoškolsko obrazovanje</t>
  </si>
  <si>
    <t>092</t>
  </si>
  <si>
    <t>0922</t>
  </si>
  <si>
    <t>Više srednjoškolsko obrazovanje</t>
  </si>
  <si>
    <r>
      <t>4/3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</si>
  <si>
    <t>SAŽETAK RAČUNA PRIHODA I RASHODA I RAČUNA FINANCIRANJA</t>
  </si>
  <si>
    <t xml:space="preserve">I. OPĆI DIO </t>
  </si>
  <si>
    <t>GODIŠNJI IZVJEŠTAJ O PRIHODIMA I RASHODIMA PREMA EKONOMSKOJ KLASIFIKACIJI</t>
  </si>
  <si>
    <t>RAČUN PRIHODA I RASHODA</t>
  </si>
  <si>
    <t>BROJČANA OZNAKA I NAZIV</t>
  </si>
  <si>
    <t>IZVJEŠTAJ O PRIHODIMA I RASHODIMA PREMA IZVORIMA FINANCIRANJA</t>
  </si>
  <si>
    <t>IZVJEŠTAJ O RASHODIMA PREMA FUNKCIJSKOJ KLASIFIKACIJI</t>
  </si>
  <si>
    <t>II. POSEBNI DIO</t>
  </si>
  <si>
    <t>IZVJEŠTAJ O IZVRŠENJU FINANCIJSKOG PLANA 2023. PREMA EKONOMSKOJ KLASIFIKACIJI, PROGRAMIMA TE IZVORIMA FINANCIRANJA</t>
  </si>
  <si>
    <t>GODIŠNJI IZVJEŠTAJ O IZVRŠENJU FINANCIJSKOG PLANA HOTELIJERSKO - TURISTIČKE I UGOSTITELJSKE ŠKOLE ZADAR ZA 2023. GODINU</t>
  </si>
  <si>
    <t>Tekuće donacije u naravi</t>
  </si>
  <si>
    <t>HOTELIJERSKO – TURISTIČKA I UGOSTITELJSKA ŠKOLA ZADAR</t>
  </si>
  <si>
    <t>Vlatiti prihodi</t>
  </si>
  <si>
    <t>Pomoći</t>
  </si>
  <si>
    <t>Donacije</t>
  </si>
  <si>
    <t>Brojčana oznaka i naziv funkcijske klasifikacije</t>
  </si>
  <si>
    <t>RASHODI PO IZVORIMA FINANCIRANJA</t>
  </si>
  <si>
    <t>Izvor financiranja: 451 F.P. i dodatni udio u porezu na dohodak</t>
  </si>
  <si>
    <t>Izvor financiranje: 121 Višak/manjak prihoda - ZŽ</t>
  </si>
  <si>
    <t>Materijal za hig. potrebe u njegu</t>
  </si>
  <si>
    <t>Izvori financiranja ukupno</t>
  </si>
  <si>
    <t>Vlastiti prihodi</t>
  </si>
  <si>
    <t>Prihodi za posebne namjene</t>
  </si>
  <si>
    <t>II. POSEBNI IZVJEŠTAJI</t>
  </si>
  <si>
    <t>IZVJEŠTAJ O KORIŠTENJU SREDSTAVA FONDOVA EUROPSKE UNIJE</t>
  </si>
  <si>
    <t>Ostali fondovi EU</t>
  </si>
  <si>
    <t>IZVJEŠTAJ O STANJU POTRAŽIVANJA I DOSPJELIH OBVEZA TE O STANJU POTENCIJALNIH OBVEZA PO OSNOVI SUDSKIH SPOROVA</t>
  </si>
  <si>
    <t>HOTELIJERSKO - TURISTIČKA I UGOSTITELJSKA ŠKOLA ZADAR - 19773</t>
  </si>
  <si>
    <t>STANJE NA 31. 12. 2023.</t>
  </si>
  <si>
    <t>Opis</t>
  </si>
  <si>
    <t>1.</t>
  </si>
  <si>
    <t>2.</t>
  </si>
  <si>
    <t>3.</t>
  </si>
  <si>
    <t>Od početka provedbe projekta</t>
  </si>
  <si>
    <t>Za 2023. godinu</t>
  </si>
  <si>
    <t>Stanja na dan 31.12.2023. godine</t>
  </si>
  <si>
    <t>RB</t>
  </si>
  <si>
    <t>Naziv projekta</t>
  </si>
  <si>
    <t>Fond financiranja projekta</t>
  </si>
  <si>
    <t>Program financiranja projekta</t>
  </si>
  <si>
    <t>Datum početka provedbe projekta</t>
  </si>
  <si>
    <t>Datum završetka provedbe projekta</t>
  </si>
  <si>
    <t>Ugovorena vrijednost projekta</t>
  </si>
  <si>
    <t>Ukupno uplaćena sredstva od početka provedbe projekta do 31.12.2023.</t>
  </si>
  <si>
    <t>Ukupno isplaćena sredstva od početka provedbe projekta do 31.12.2023.</t>
  </si>
  <si>
    <t>Prihodi projekta - 2023. godina</t>
  </si>
  <si>
    <t>Rashodi projekta - 2023. godina</t>
  </si>
  <si>
    <t xml:space="preserve">Stanje obveza </t>
  </si>
  <si>
    <t xml:space="preserve">Stanje potraživanja </t>
  </si>
  <si>
    <t>Erasmus+</t>
  </si>
  <si>
    <t>1. 9. 2022.</t>
  </si>
  <si>
    <t>29. 2. 2024.</t>
  </si>
  <si>
    <t xml:space="preserve">Erasmus+ Različiti zajedno </t>
  </si>
  <si>
    <t>2022-1-HR01-KA122-SCH-000075154</t>
  </si>
  <si>
    <t>Nenaplaćena potraživanja</t>
  </si>
  <si>
    <t>Dospjele obveze</t>
  </si>
  <si>
    <t>Potencijalne obveze po osnovi sudskih sporova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</si>
</sst>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??/1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4" tint="0.3999755851924192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9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3" fillId="3" borderId="32" xfId="0" applyFont="1" applyFill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38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3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0" fillId="0" borderId="0" xfId="0" applyNumberFormat="1"/>
    <xf numFmtId="0" fontId="7" fillId="2" borderId="21" xfId="0" applyFont="1" applyFill="1" applyBorder="1" applyAlignment="1">
      <alignment horizontal="right" vertical="center" wrapTex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4" fontId="0" fillId="0" borderId="0" xfId="0" applyNumberFormat="1" applyAlignment="1">
      <alignment horizontal="center"/>
    </xf>
    <xf numFmtId="4" fontId="1" fillId="0" borderId="21" xfId="0" applyNumberFormat="1" applyFon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4" fontId="1" fillId="3" borderId="21" xfId="0" applyNumberFormat="1" applyFont="1" applyFill="1" applyBorder="1" applyAlignment="1">
      <alignment horizontal="right" vertical="center"/>
    </xf>
    <xf numFmtId="4" fontId="1" fillId="6" borderId="23" xfId="0" applyNumberFormat="1" applyFont="1" applyFill="1" applyBorder="1" applyAlignment="1">
      <alignment horizontal="right" vertical="center"/>
    </xf>
    <xf numFmtId="4" fontId="1" fillId="5" borderId="38" xfId="0" applyNumberFormat="1" applyFont="1" applyFill="1" applyBorder="1" applyAlignment="1">
      <alignment horizontal="right" vertical="center"/>
    </xf>
    <xf numFmtId="4" fontId="1" fillId="5" borderId="27" xfId="0" applyNumberFormat="1" applyFont="1" applyFill="1" applyBorder="1" applyAlignment="1">
      <alignment horizontal="right" vertical="center"/>
    </xf>
    <xf numFmtId="4" fontId="1" fillId="3" borderId="20" xfId="0" applyNumberFormat="1" applyFont="1" applyFill="1" applyBorder="1" applyAlignment="1">
      <alignment horizontal="right" vertical="center"/>
    </xf>
    <xf numFmtId="4" fontId="0" fillId="4" borderId="21" xfId="0" applyNumberFormat="1" applyFill="1" applyBorder="1" applyAlignment="1">
      <alignment horizontal="right" vertical="center"/>
    </xf>
    <xf numFmtId="4" fontId="1" fillId="0" borderId="31" xfId="0" applyNumberFormat="1" applyFont="1" applyBorder="1" applyAlignment="1">
      <alignment vertical="center"/>
    </xf>
    <xf numFmtId="4" fontId="1" fillId="4" borderId="21" xfId="0" applyNumberFormat="1" applyFont="1" applyFill="1" applyBorder="1" applyAlignment="1">
      <alignment horizontal="right" vertical="center"/>
    </xf>
    <xf numFmtId="4" fontId="0" fillId="0" borderId="21" xfId="0" applyNumberFormat="1" applyFont="1" applyBorder="1" applyAlignment="1">
      <alignment horizontal="right" vertical="center"/>
    </xf>
    <xf numFmtId="0" fontId="3" fillId="3" borderId="29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4" fontId="0" fillId="4" borderId="27" xfId="0" applyNumberFormat="1" applyFill="1" applyBorder="1" applyAlignment="1">
      <alignment horizontal="right" vertical="center"/>
    </xf>
    <xf numFmtId="4" fontId="1" fillId="2" borderId="31" xfId="0" applyNumberFormat="1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0" fillId="0" borderId="28" xfId="0" applyBorder="1"/>
    <xf numFmtId="0" fontId="2" fillId="0" borderId="13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2" xfId="0" applyBorder="1" applyAlignment="1">
      <alignment horizontal="right"/>
    </xf>
    <xf numFmtId="0" fontId="1" fillId="0" borderId="0" xfId="0" applyFont="1" applyAlignment="1">
      <alignment horizontal="center"/>
    </xf>
    <xf numFmtId="0" fontId="3" fillId="3" borderId="33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4" fontId="1" fillId="3" borderId="21" xfId="0" applyNumberFormat="1" applyFont="1" applyFill="1" applyBorder="1" applyAlignment="1">
      <alignment horizontal="right"/>
    </xf>
    <xf numFmtId="4" fontId="0" fillId="0" borderId="20" xfId="0" applyNumberFormat="1" applyBorder="1" applyAlignment="1">
      <alignment horizontal="right"/>
    </xf>
    <xf numFmtId="4" fontId="0" fillId="0" borderId="21" xfId="0" applyNumberFormat="1" applyBorder="1" applyAlignment="1">
      <alignment horizontal="right"/>
    </xf>
    <xf numFmtId="4" fontId="1" fillId="0" borderId="22" xfId="0" applyNumberFormat="1" applyFont="1" applyBorder="1" applyAlignment="1">
      <alignment horizontal="right"/>
    </xf>
    <xf numFmtId="4" fontId="1" fillId="2" borderId="23" xfId="0" applyNumberFormat="1" applyFont="1" applyFill="1" applyBorder="1" applyAlignment="1">
      <alignment horizontal="center" vertical="center"/>
    </xf>
    <xf numFmtId="4" fontId="0" fillId="0" borderId="26" xfId="0" applyNumberFormat="1" applyBorder="1" applyAlignment="1">
      <alignment horizontal="right"/>
    </xf>
    <xf numFmtId="4" fontId="1" fillId="3" borderId="20" xfId="0" applyNumberFormat="1" applyFont="1" applyFill="1" applyBorder="1" applyAlignment="1">
      <alignment horizontal="right"/>
    </xf>
    <xf numFmtId="49" fontId="3" fillId="3" borderId="32" xfId="0" applyNumberFormat="1" applyFont="1" applyFill="1" applyBorder="1" applyAlignment="1">
      <alignment horizontal="right" vertical="center"/>
    </xf>
    <xf numFmtId="0" fontId="3" fillId="3" borderId="33" xfId="0" applyFont="1" applyFill="1" applyBorder="1" applyAlignment="1">
      <alignment vertical="center"/>
    </xf>
    <xf numFmtId="49" fontId="5" fillId="0" borderId="16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49" fontId="2" fillId="0" borderId="12" xfId="0" applyNumberFormat="1" applyFont="1" applyBorder="1" applyAlignment="1">
      <alignment horizontal="right" vertical="center"/>
    </xf>
    <xf numFmtId="4" fontId="0" fillId="4" borderId="21" xfId="0" applyNumberFormat="1" applyFont="1" applyFill="1" applyBorder="1" applyAlignment="1">
      <alignment horizontal="right" vertical="center"/>
    </xf>
    <xf numFmtId="4" fontId="0" fillId="4" borderId="22" xfId="0" applyNumberFormat="1" applyFont="1" applyFill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1" fillId="3" borderId="27" xfId="0" applyNumberFormat="1" applyFont="1" applyFill="1" applyBorder="1" applyAlignment="1">
      <alignment horizontal="right" vertical="center"/>
    </xf>
    <xf numFmtId="0" fontId="1" fillId="0" borderId="0" xfId="0" applyFont="1" applyAlignment="1"/>
    <xf numFmtId="4" fontId="0" fillId="0" borderId="26" xfId="0" applyNumberFormat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0" fontId="1" fillId="7" borderId="43" xfId="0" applyFont="1" applyFill="1" applyBorder="1" applyAlignment="1">
      <alignment vertical="center"/>
    </xf>
    <xf numFmtId="0" fontId="1" fillId="7" borderId="40" xfId="0" applyFont="1" applyFill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4" fontId="1" fillId="0" borderId="20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vertical="center"/>
    </xf>
    <xf numFmtId="0" fontId="1" fillId="7" borderId="39" xfId="0" applyFont="1" applyFill="1" applyBorder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4" fontId="10" fillId="0" borderId="21" xfId="0" applyNumberFormat="1" applyFont="1" applyBorder="1" applyAlignment="1">
      <alignment horizontal="right" vertical="center"/>
    </xf>
    <xf numFmtId="0" fontId="4" fillId="2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/>
    <xf numFmtId="0" fontId="11" fillId="0" borderId="0" xfId="0" applyFont="1"/>
    <xf numFmtId="0" fontId="0" fillId="0" borderId="3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4" borderId="20" xfId="0" applyFont="1" applyFill="1" applyBorder="1" applyAlignment="1">
      <alignment vertical="center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0" fontId="3" fillId="4" borderId="34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4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3" fillId="3" borderId="32" xfId="0" applyFont="1" applyFill="1" applyBorder="1" applyAlignment="1">
      <alignment horizontal="left"/>
    </xf>
    <xf numFmtId="0" fontId="3" fillId="3" borderId="33" xfId="0" applyFont="1" applyFill="1" applyBorder="1" applyAlignment="1">
      <alignment horizontal="left"/>
    </xf>
    <xf numFmtId="0" fontId="3" fillId="3" borderId="34" xfId="0" applyFont="1" applyFill="1" applyBorder="1" applyAlignment="1">
      <alignment horizontal="left"/>
    </xf>
    <xf numFmtId="4" fontId="1" fillId="3" borderId="20" xfId="0" applyNumberFormat="1" applyFont="1" applyFill="1" applyBorder="1" applyAlignment="1">
      <alignment horizontal="center"/>
    </xf>
    <xf numFmtId="4" fontId="1" fillId="3" borderId="32" xfId="0" applyNumberFormat="1" applyFont="1" applyFill="1" applyBorder="1" applyAlignment="1">
      <alignment horizontal="center"/>
    </xf>
    <xf numFmtId="4" fontId="1" fillId="3" borderId="3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" fontId="0" fillId="0" borderId="12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center"/>
    </xf>
    <xf numFmtId="4" fontId="1" fillId="3" borderId="18" xfId="0" applyNumberFormat="1" applyFont="1" applyFill="1" applyBorder="1" applyAlignment="1">
      <alignment horizontal="center"/>
    </xf>
    <xf numFmtId="4" fontId="1" fillId="0" borderId="16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4" fontId="0" fillId="0" borderId="27" xfId="0" applyNumberFormat="1" applyBorder="1" applyAlignment="1">
      <alignment horizontal="right"/>
    </xf>
    <xf numFmtId="4" fontId="0" fillId="0" borderId="24" xfId="0" applyNumberFormat="1" applyBorder="1" applyAlignment="1">
      <alignment horizontal="righ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4" fontId="0" fillId="0" borderId="20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4" fontId="0" fillId="0" borderId="14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4" fontId="1" fillId="3" borderId="21" xfId="0" applyNumberFormat="1" applyFont="1" applyFill="1" applyBorder="1" applyAlignment="1">
      <alignment horizontal="center"/>
    </xf>
    <xf numFmtId="4" fontId="0" fillId="0" borderId="35" xfId="0" applyNumberFormat="1" applyBorder="1" applyAlignment="1">
      <alignment horizontal="center" wrapText="1"/>
    </xf>
    <xf numFmtId="4" fontId="0" fillId="0" borderId="37" xfId="0" applyNumberFormat="1" applyBorder="1" applyAlignment="1">
      <alignment horizontal="center" wrapText="1"/>
    </xf>
    <xf numFmtId="4" fontId="0" fillId="0" borderId="41" xfId="0" applyNumberFormat="1" applyBorder="1" applyAlignment="1">
      <alignment horizontal="center" wrapText="1"/>
    </xf>
    <xf numFmtId="4" fontId="0" fillId="0" borderId="42" xfId="0" applyNumberFormat="1" applyBorder="1" applyAlignment="1">
      <alignment horizont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4" fontId="5" fillId="0" borderId="12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35" xfId="0" applyNumberFormat="1" applyFont="1" applyBorder="1" applyAlignment="1">
      <alignment horizontal="center" vertical="center"/>
    </xf>
    <xf numFmtId="4" fontId="5" fillId="0" borderId="36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3" fillId="3" borderId="12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1" fillId="0" borderId="27" xfId="0" applyNumberFormat="1" applyFont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" fontId="3" fillId="0" borderId="35" xfId="0" applyNumberFormat="1" applyFont="1" applyBorder="1" applyAlignment="1">
      <alignment horizontal="center" vertical="center"/>
    </xf>
    <xf numFmtId="4" fontId="3" fillId="0" borderId="37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/>
    </xf>
    <xf numFmtId="4" fontId="0" fillId="4" borderId="21" xfId="0" applyNumberFormat="1" applyFill="1" applyBorder="1" applyAlignment="1">
      <alignment horizontal="right" vertical="center"/>
    </xf>
    <xf numFmtId="4" fontId="0" fillId="4" borderId="27" xfId="0" applyNumberFormat="1" applyFill="1" applyBorder="1" applyAlignment="1">
      <alignment horizontal="right" vertical="center"/>
    </xf>
    <xf numFmtId="4" fontId="0" fillId="4" borderId="26" xfId="0" applyNumberFormat="1" applyFill="1" applyBorder="1" applyAlignment="1">
      <alignment horizontal="right" vertical="center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0" fillId="0" borderId="27" xfId="0" applyNumberForma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5" fillId="0" borderId="21" xfId="0" applyNumberFormat="1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4" fontId="7" fillId="2" borderId="31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vertical="center" wrapText="1"/>
    </xf>
    <xf numFmtId="4" fontId="3" fillId="3" borderId="32" xfId="0" applyNumberFormat="1" applyFont="1" applyFill="1" applyBorder="1" applyAlignment="1">
      <alignment horizontal="center" vertical="center"/>
    </xf>
    <xf numFmtId="4" fontId="3" fillId="3" borderId="34" xfId="0" applyNumberFormat="1" applyFont="1" applyFill="1" applyBorder="1" applyAlignment="1">
      <alignment horizontal="center" vertical="center"/>
    </xf>
    <xf numFmtId="4" fontId="1" fillId="4" borderId="21" xfId="0" applyNumberFormat="1" applyFont="1" applyFill="1" applyBorder="1" applyAlignment="1">
      <alignment horizontal="right" vertical="center"/>
    </xf>
    <xf numFmtId="4" fontId="3" fillId="3" borderId="29" xfId="0" applyNumberFormat="1" applyFont="1" applyFill="1" applyBorder="1" applyAlignment="1">
      <alignment horizontal="center" vertical="center"/>
    </xf>
    <xf numFmtId="4" fontId="3" fillId="3" borderId="30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2" fillId="0" borderId="35" xfId="0" applyNumberFormat="1" applyFont="1" applyBorder="1" applyAlignment="1">
      <alignment horizontal="center" vertical="center" wrapText="1"/>
    </xf>
    <xf numFmtId="4" fontId="2" fillId="0" borderId="37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5" fillId="4" borderId="35" xfId="0" applyNumberFormat="1" applyFont="1" applyFill="1" applyBorder="1" applyAlignment="1">
      <alignment horizontal="center" vertical="center" wrapText="1"/>
    </xf>
    <xf numFmtId="4" fontId="5" fillId="4" borderId="37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4" fontId="1" fillId="0" borderId="12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/>
    </xf>
    <xf numFmtId="4" fontId="1" fillId="0" borderId="32" xfId="0" applyNumberFormat="1" applyFont="1" applyBorder="1" applyAlignment="1">
      <alignment horizontal="center" vertical="center"/>
    </xf>
    <xf numFmtId="4" fontId="1" fillId="0" borderId="34" xfId="0" applyNumberFormat="1" applyFon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4" fontId="0" fillId="4" borderId="12" xfId="0" applyNumberFormat="1" applyFill="1" applyBorder="1" applyAlignment="1">
      <alignment horizontal="center" vertical="center"/>
    </xf>
    <xf numFmtId="4" fontId="0" fillId="4" borderId="18" xfId="0" applyNumberFormat="1" applyFill="1" applyBorder="1" applyAlignment="1">
      <alignment horizontal="center" vertical="center"/>
    </xf>
    <xf numFmtId="4" fontId="1" fillId="0" borderId="39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horizontal="center" vertical="center" wrapText="1"/>
    </xf>
    <xf numFmtId="4" fontId="1" fillId="3" borderId="12" xfId="0" applyNumberFormat="1" applyFont="1" applyFill="1" applyBorder="1" applyAlignment="1">
      <alignment horizontal="center" vertical="center"/>
    </xf>
    <xf numFmtId="4" fontId="1" fillId="3" borderId="18" xfId="0" applyNumberFormat="1" applyFont="1" applyFill="1" applyBorder="1" applyAlignment="1">
      <alignment horizontal="center" vertical="center"/>
    </xf>
    <xf numFmtId="4" fontId="1" fillId="3" borderId="35" xfId="0" applyNumberFormat="1" applyFont="1" applyFill="1" applyBorder="1" applyAlignment="1">
      <alignment horizontal="center" vertical="center"/>
    </xf>
    <xf numFmtId="4" fontId="1" fillId="3" borderId="37" xfId="0" applyNumberFormat="1" applyFont="1" applyFill="1" applyBorder="1" applyAlignment="1">
      <alignment horizontal="center" vertical="center"/>
    </xf>
    <xf numFmtId="4" fontId="1" fillId="3" borderId="29" xfId="0" applyNumberFormat="1" applyFont="1" applyFill="1" applyBorder="1" applyAlignment="1">
      <alignment horizontal="center" vertical="center"/>
    </xf>
    <xf numFmtId="4" fontId="1" fillId="3" borderId="30" xfId="0" applyNumberFormat="1" applyFont="1" applyFill="1" applyBorder="1" applyAlignment="1">
      <alignment horizontal="center" vertical="center"/>
    </xf>
    <xf numFmtId="4" fontId="1" fillId="3" borderId="27" xfId="0" applyNumberFormat="1" applyFont="1" applyFill="1" applyBorder="1" applyAlignment="1">
      <alignment horizontal="right" vertical="center"/>
    </xf>
    <xf numFmtId="4" fontId="1" fillId="3" borderId="38" xfId="0" applyNumberFormat="1" applyFont="1" applyFill="1" applyBorder="1" applyAlignment="1">
      <alignment horizontal="right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2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5" borderId="29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4" fontId="1" fillId="6" borderId="23" xfId="0" applyNumberFormat="1" applyFont="1" applyFill="1" applyBorder="1" applyAlignment="1">
      <alignment horizontal="center" vertical="center"/>
    </xf>
    <xf numFmtId="4" fontId="1" fillId="5" borderId="29" xfId="0" applyNumberFormat="1" applyFont="1" applyFill="1" applyBorder="1" applyAlignment="1">
      <alignment horizontal="center" vertical="center"/>
    </xf>
    <xf numFmtId="4" fontId="1" fillId="5" borderId="30" xfId="0" applyNumberFormat="1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/>
    </xf>
    <xf numFmtId="4" fontId="1" fillId="3" borderId="25" xfId="0" applyNumberFormat="1" applyFont="1" applyFill="1" applyBorder="1" applyAlignment="1">
      <alignment horizontal="center" vertical="center"/>
    </xf>
    <xf numFmtId="4" fontId="10" fillId="0" borderId="12" xfId="0" applyNumberFormat="1" applyFont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3" fillId="3" borderId="2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4" fontId="0" fillId="0" borderId="29" xfId="0" applyNumberFormat="1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left" vertical="center"/>
    </xf>
    <xf numFmtId="4" fontId="1" fillId="5" borderId="35" xfId="0" applyNumberFormat="1" applyFont="1" applyFill="1" applyBorder="1" applyAlignment="1">
      <alignment horizontal="center" vertical="center"/>
    </xf>
    <xf numFmtId="4" fontId="1" fillId="5" borderId="37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vertical="center" wrapText="1"/>
    </xf>
    <xf numFmtId="4" fontId="0" fillId="0" borderId="35" xfId="0" applyNumberFormat="1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0" fontId="3" fillId="3" borderId="35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0" fontId="1" fillId="5" borderId="35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4" fontId="1" fillId="3" borderId="26" xfId="0" applyNumberFormat="1" applyFont="1" applyFill="1" applyBorder="1" applyAlignment="1">
      <alignment horizontal="right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0" borderId="23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4" fontId="3" fillId="4" borderId="12" xfId="0" applyNumberFormat="1" applyFont="1" applyFill="1" applyBorder="1" applyAlignment="1">
      <alignment horizontal="center" vertical="center"/>
    </xf>
    <xf numFmtId="4" fontId="3" fillId="4" borderId="18" xfId="0" applyNumberFormat="1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center" vertical="center"/>
    </xf>
    <xf numFmtId="4" fontId="3" fillId="4" borderId="19" xfId="0" applyNumberFormat="1" applyFont="1" applyFill="1" applyBorder="1" applyAlignment="1">
      <alignment horizontal="center" vertical="center"/>
    </xf>
    <xf numFmtId="4" fontId="3" fillId="4" borderId="32" xfId="0" applyNumberFormat="1" applyFont="1" applyFill="1" applyBorder="1" applyAlignment="1">
      <alignment horizontal="center" vertical="center"/>
    </xf>
    <xf numFmtId="4" fontId="3" fillId="4" borderId="34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7" zoomScaleNormal="100" workbookViewId="0">
      <selection activeCell="K19" sqref="K19:L19"/>
    </sheetView>
  </sheetViews>
  <sheetFormatPr defaultRowHeight="15" x14ac:dyDescent="0.25"/>
  <cols>
    <col min="1" max="3" width="8.85546875" customWidth="1"/>
    <col min="4" max="4" width="10.140625" customWidth="1"/>
    <col min="5" max="12" width="8.85546875" customWidth="1"/>
    <col min="15" max="15" width="12.7109375" bestFit="1" customWidth="1"/>
  </cols>
  <sheetData>
    <row r="1" spans="1:14" x14ac:dyDescent="0.25">
      <c r="A1" s="1" t="s">
        <v>19</v>
      </c>
    </row>
    <row r="2" spans="1:14" x14ac:dyDescent="0.25">
      <c r="A2" t="s">
        <v>17</v>
      </c>
    </row>
    <row r="3" spans="1:14" x14ac:dyDescent="0.25">
      <c r="A3" t="s">
        <v>18</v>
      </c>
    </row>
    <row r="5" spans="1:14" ht="15" customHeight="1" x14ac:dyDescent="0.25">
      <c r="A5" s="133" t="s">
        <v>190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4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</row>
    <row r="7" spans="1:14" x14ac:dyDescent="0.25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</row>
    <row r="9" spans="1:14" x14ac:dyDescent="0.25">
      <c r="A9" s="132" t="s">
        <v>216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</row>
    <row r="10" spans="1:14" x14ac:dyDescent="0.2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</row>
    <row r="11" spans="1:14" x14ac:dyDescent="0.25">
      <c r="A11" s="132" t="s">
        <v>0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</row>
    <row r="12" spans="1:14" x14ac:dyDescent="0.25">
      <c r="A12" s="132" t="s">
        <v>207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4" spans="1:14" ht="15.75" thickBot="1" x14ac:dyDescent="0.3">
      <c r="A14" s="1" t="s">
        <v>192</v>
      </c>
    </row>
    <row r="15" spans="1:14" ht="15" customHeight="1" x14ac:dyDescent="0.25">
      <c r="A15" s="140" t="s">
        <v>1</v>
      </c>
      <c r="B15" s="141"/>
      <c r="C15" s="141"/>
      <c r="D15" s="142"/>
      <c r="E15" s="146" t="s">
        <v>16</v>
      </c>
      <c r="F15" s="146"/>
      <c r="G15" s="172" t="s">
        <v>191</v>
      </c>
      <c r="H15" s="173"/>
      <c r="I15" s="148" t="s">
        <v>175</v>
      </c>
      <c r="J15" s="149"/>
      <c r="K15" s="146" t="s">
        <v>176</v>
      </c>
      <c r="L15" s="146"/>
      <c r="M15" s="25" t="s">
        <v>48</v>
      </c>
      <c r="N15" s="25" t="s">
        <v>48</v>
      </c>
    </row>
    <row r="16" spans="1:14" x14ac:dyDescent="0.25">
      <c r="A16" s="143"/>
      <c r="B16" s="144"/>
      <c r="C16" s="144"/>
      <c r="D16" s="145"/>
      <c r="E16" s="147"/>
      <c r="F16" s="147"/>
      <c r="G16" s="174"/>
      <c r="H16" s="175"/>
      <c r="I16" s="150"/>
      <c r="J16" s="151"/>
      <c r="K16" s="147"/>
      <c r="L16" s="147"/>
      <c r="M16" s="28" t="s">
        <v>170</v>
      </c>
      <c r="N16" s="26" t="s">
        <v>174</v>
      </c>
    </row>
    <row r="17" spans="1:15" ht="15.75" thickBot="1" x14ac:dyDescent="0.3">
      <c r="A17" s="153">
        <v>1</v>
      </c>
      <c r="B17" s="154"/>
      <c r="C17" s="154"/>
      <c r="D17" s="155"/>
      <c r="E17" s="152">
        <v>2</v>
      </c>
      <c r="F17" s="152"/>
      <c r="G17" s="152">
        <v>3</v>
      </c>
      <c r="H17" s="152"/>
      <c r="I17" s="152">
        <v>4</v>
      </c>
      <c r="J17" s="152"/>
      <c r="K17" s="152">
        <v>5</v>
      </c>
      <c r="L17" s="152"/>
      <c r="M17" s="27">
        <v>6</v>
      </c>
      <c r="N17" s="27">
        <v>7</v>
      </c>
    </row>
    <row r="18" spans="1:15" x14ac:dyDescent="0.25">
      <c r="A18" s="134" t="s">
        <v>4</v>
      </c>
      <c r="B18" s="135"/>
      <c r="C18" s="135"/>
      <c r="D18" s="136"/>
      <c r="E18" s="137">
        <f>SUM(E19:F21)</f>
        <v>1711064.6784789963</v>
      </c>
      <c r="F18" s="137"/>
      <c r="G18" s="138">
        <f t="shared" ref="G18" si="0">SUM(G19:H21)</f>
        <v>1766914.78</v>
      </c>
      <c r="H18" s="139"/>
      <c r="I18" s="138">
        <f t="shared" ref="I18" si="1">SUM(I19:J21)</f>
        <v>1952297.93</v>
      </c>
      <c r="J18" s="139"/>
      <c r="K18" s="138">
        <f t="shared" ref="K18" si="2">SUM(K19:L21)</f>
        <v>2043382.92</v>
      </c>
      <c r="L18" s="139"/>
      <c r="M18" s="89">
        <f>K18/E18*100</f>
        <v>119.42172296002327</v>
      </c>
      <c r="N18" s="89">
        <f t="shared" ref="N18" si="3">K18/I18*100</f>
        <v>104.66552715138104</v>
      </c>
    </row>
    <row r="19" spans="1:15" x14ac:dyDescent="0.25">
      <c r="A19" s="193" t="s">
        <v>2</v>
      </c>
      <c r="B19" s="194"/>
      <c r="C19" s="194"/>
      <c r="D19" s="195"/>
      <c r="E19" s="178">
        <f>12788469.79/7.5345</f>
        <v>1697321.6258544028</v>
      </c>
      <c r="F19" s="179"/>
      <c r="G19" s="178">
        <f>1766914.78-G21</f>
        <v>1736250.08</v>
      </c>
      <c r="H19" s="179"/>
      <c r="I19" s="178">
        <f>1952297.93-I21</f>
        <v>1921633.23</v>
      </c>
      <c r="J19" s="179"/>
      <c r="K19" s="178">
        <f>2012718.22</f>
        <v>2012718.22</v>
      </c>
      <c r="L19" s="179"/>
      <c r="M19" s="88">
        <f>K19/E19*100</f>
        <v>118.58201706390396</v>
      </c>
      <c r="N19" s="88">
        <f>K19/I19*100</f>
        <v>104.73997787808862</v>
      </c>
      <c r="O19" s="35"/>
    </row>
    <row r="20" spans="1:15" x14ac:dyDescent="0.25">
      <c r="A20" s="180" t="s">
        <v>3</v>
      </c>
      <c r="B20" s="181"/>
      <c r="C20" s="181"/>
      <c r="D20" s="182"/>
      <c r="E20" s="156">
        <v>0</v>
      </c>
      <c r="F20" s="157"/>
      <c r="G20" s="156">
        <v>0</v>
      </c>
      <c r="H20" s="157"/>
      <c r="I20" s="156">
        <v>0</v>
      </c>
      <c r="J20" s="157"/>
      <c r="K20" s="156">
        <v>0</v>
      </c>
      <c r="L20" s="157"/>
      <c r="M20" s="85" t="e">
        <f t="shared" ref="M20:M39" si="4">K20/E20*100</f>
        <v>#DIV/0!</v>
      </c>
      <c r="N20" s="85" t="e">
        <f t="shared" ref="N20:N40" si="5">K20/I20*100</f>
        <v>#DIV/0!</v>
      </c>
    </row>
    <row r="21" spans="1:15" x14ac:dyDescent="0.25">
      <c r="A21" s="180" t="s">
        <v>13</v>
      </c>
      <c r="B21" s="181"/>
      <c r="C21" s="181"/>
      <c r="D21" s="182"/>
      <c r="E21" s="156">
        <f>103547.03/7.5345</f>
        <v>13743.052624593536</v>
      </c>
      <c r="F21" s="157"/>
      <c r="G21" s="156">
        <v>30664.7</v>
      </c>
      <c r="H21" s="157"/>
      <c r="I21" s="156">
        <v>30664.7</v>
      </c>
      <c r="J21" s="157"/>
      <c r="K21" s="156">
        <v>30664.7</v>
      </c>
      <c r="L21" s="157"/>
      <c r="M21" s="85">
        <f t="shared" si="4"/>
        <v>223.12873884456175</v>
      </c>
      <c r="N21" s="85">
        <f t="shared" si="5"/>
        <v>100</v>
      </c>
    </row>
    <row r="22" spans="1:15" x14ac:dyDescent="0.25">
      <c r="A22" s="183" t="s">
        <v>7</v>
      </c>
      <c r="B22" s="184"/>
      <c r="C22" s="184"/>
      <c r="D22" s="185"/>
      <c r="E22" s="186">
        <f>SUM(E23:F24)</f>
        <v>1680399.975856394</v>
      </c>
      <c r="F22" s="159"/>
      <c r="G22" s="158">
        <f t="shared" ref="G22" si="6">SUM(G23:H24)</f>
        <v>1766914.78</v>
      </c>
      <c r="H22" s="159"/>
      <c r="I22" s="158">
        <f>SUM(I23:J24)</f>
        <v>1952297.93</v>
      </c>
      <c r="J22" s="159"/>
      <c r="K22" s="158">
        <f t="shared" ref="K22" si="7">SUM(K23:L24)</f>
        <v>2027885.81</v>
      </c>
      <c r="L22" s="159"/>
      <c r="M22" s="83">
        <f t="shared" ref="M22" si="8">K22/E22*100</f>
        <v>120.67875738730088</v>
      </c>
      <c r="N22" s="83">
        <f t="shared" ref="N22" si="9">K22/I22*100</f>
        <v>103.87173898196984</v>
      </c>
      <c r="O22" s="35"/>
    </row>
    <row r="23" spans="1:15" x14ac:dyDescent="0.25">
      <c r="A23" s="180" t="s">
        <v>5</v>
      </c>
      <c r="B23" s="181"/>
      <c r="C23" s="181"/>
      <c r="D23" s="182"/>
      <c r="E23" s="156">
        <f>12402721.3/7.5345-730.78</f>
        <v>1645393.2229199018</v>
      </c>
      <c r="F23" s="157"/>
      <c r="G23" s="156">
        <f>1766914.78-G24</f>
        <v>1762114.78</v>
      </c>
      <c r="H23" s="157"/>
      <c r="I23" s="156">
        <f>1952297.93-I24</f>
        <v>1795981.63</v>
      </c>
      <c r="J23" s="157"/>
      <c r="K23" s="156">
        <f>2027885.81-K24</f>
        <v>1878054.08</v>
      </c>
      <c r="L23" s="157"/>
      <c r="M23" s="85">
        <f t="shared" si="4"/>
        <v>114.14013707113855</v>
      </c>
      <c r="N23" s="85">
        <f t="shared" si="5"/>
        <v>104.56978226442106</v>
      </c>
      <c r="O23" s="35"/>
    </row>
    <row r="24" spans="1:15" x14ac:dyDescent="0.25">
      <c r="A24" s="180" t="s">
        <v>6</v>
      </c>
      <c r="B24" s="181"/>
      <c r="C24" s="181"/>
      <c r="D24" s="182"/>
      <c r="E24" s="156">
        <f>263758.38/7.5345</f>
        <v>35006.752936492136</v>
      </c>
      <c r="F24" s="157"/>
      <c r="G24" s="156">
        <f>1500+1300+1000+1000</f>
        <v>4800</v>
      </c>
      <c r="H24" s="157"/>
      <c r="I24" s="156">
        <f>151516.3+2800+2000</f>
        <v>156316.29999999999</v>
      </c>
      <c r="J24" s="157"/>
      <c r="K24" s="156">
        <f>145903.71+3132.34+795.68</f>
        <v>149831.72999999998</v>
      </c>
      <c r="L24" s="157"/>
      <c r="M24" s="85">
        <f t="shared" si="4"/>
        <v>428.00807681826063</v>
      </c>
      <c r="N24" s="85">
        <f t="shared" si="5"/>
        <v>95.851635434052611</v>
      </c>
      <c r="O24" s="35"/>
    </row>
    <row r="25" spans="1:15" ht="15.75" thickBot="1" x14ac:dyDescent="0.3">
      <c r="A25" s="169" t="s">
        <v>8</v>
      </c>
      <c r="B25" s="170"/>
      <c r="C25" s="170"/>
      <c r="D25" s="171"/>
      <c r="E25" s="160">
        <f>E18-E22</f>
        <v>30664.702622602228</v>
      </c>
      <c r="F25" s="161"/>
      <c r="G25" s="160">
        <f t="shared" ref="G25" si="10">G18-G22</f>
        <v>0</v>
      </c>
      <c r="H25" s="161"/>
      <c r="I25" s="160">
        <f>I18-I22</f>
        <v>0</v>
      </c>
      <c r="J25" s="161"/>
      <c r="K25" s="160">
        <f t="shared" ref="K25" si="11">K18-K22</f>
        <v>15497.10999999987</v>
      </c>
      <c r="L25" s="161"/>
      <c r="M25" s="86">
        <f t="shared" si="4"/>
        <v>50.537291004339679</v>
      </c>
      <c r="N25" s="86" t="e">
        <f t="shared" si="5"/>
        <v>#DIV/0!</v>
      </c>
    </row>
    <row r="26" spans="1:15" x14ac:dyDescent="0.25">
      <c r="M26" s="35"/>
      <c r="N26" s="35"/>
      <c r="O26" s="35"/>
    </row>
    <row r="27" spans="1:15" ht="15.75" thickBot="1" x14ac:dyDescent="0.3">
      <c r="A27" s="1" t="s">
        <v>193</v>
      </c>
    </row>
    <row r="28" spans="1:15" ht="15" customHeight="1" x14ac:dyDescent="0.25">
      <c r="A28" s="191" t="s">
        <v>211</v>
      </c>
      <c r="B28" s="191"/>
      <c r="C28" s="191"/>
      <c r="D28" s="191"/>
      <c r="E28" s="146" t="s">
        <v>16</v>
      </c>
      <c r="F28" s="146"/>
      <c r="G28" s="172" t="s">
        <v>191</v>
      </c>
      <c r="H28" s="173"/>
      <c r="I28" s="148" t="s">
        <v>175</v>
      </c>
      <c r="J28" s="149"/>
      <c r="K28" s="146" t="s">
        <v>176</v>
      </c>
      <c r="L28" s="146"/>
      <c r="M28" s="87" t="s">
        <v>48</v>
      </c>
      <c r="N28" s="25" t="s">
        <v>48</v>
      </c>
    </row>
    <row r="29" spans="1:15" x14ac:dyDescent="0.25">
      <c r="A29" s="192"/>
      <c r="B29" s="192"/>
      <c r="C29" s="192"/>
      <c r="D29" s="192"/>
      <c r="E29" s="147"/>
      <c r="F29" s="147"/>
      <c r="G29" s="174"/>
      <c r="H29" s="175"/>
      <c r="I29" s="150"/>
      <c r="J29" s="151"/>
      <c r="K29" s="147"/>
      <c r="L29" s="147"/>
      <c r="M29" s="28" t="s">
        <v>170</v>
      </c>
      <c r="N29" s="26" t="s">
        <v>174</v>
      </c>
      <c r="O29" s="35"/>
    </row>
    <row r="30" spans="1:15" ht="15.75" thickBot="1" x14ac:dyDescent="0.3">
      <c r="A30" s="153">
        <v>1</v>
      </c>
      <c r="B30" s="154"/>
      <c r="C30" s="154"/>
      <c r="D30" s="155"/>
      <c r="E30" s="152">
        <v>2</v>
      </c>
      <c r="F30" s="152"/>
      <c r="G30" s="152">
        <v>3</v>
      </c>
      <c r="H30" s="152"/>
      <c r="I30" s="152">
        <v>4</v>
      </c>
      <c r="J30" s="152"/>
      <c r="K30" s="152">
        <v>5</v>
      </c>
      <c r="L30" s="152"/>
      <c r="M30" s="27">
        <v>6</v>
      </c>
      <c r="N30" s="27">
        <v>7</v>
      </c>
      <c r="O30" s="35"/>
    </row>
    <row r="31" spans="1:15" x14ac:dyDescent="0.25">
      <c r="A31" s="164" t="s">
        <v>10</v>
      </c>
      <c r="B31" s="164"/>
      <c r="C31" s="164"/>
      <c r="D31" s="164"/>
      <c r="E31" s="167"/>
      <c r="F31" s="167"/>
      <c r="G31" s="167"/>
      <c r="H31" s="167"/>
      <c r="I31" s="167"/>
      <c r="J31" s="167"/>
      <c r="K31" s="167"/>
      <c r="L31" s="167"/>
      <c r="M31" s="74" t="e">
        <f t="shared" si="4"/>
        <v>#DIV/0!</v>
      </c>
      <c r="N31" s="74" t="e">
        <f t="shared" si="5"/>
        <v>#DIV/0!</v>
      </c>
    </row>
    <row r="32" spans="1:15" x14ac:dyDescent="0.25">
      <c r="A32" s="165" t="s">
        <v>9</v>
      </c>
      <c r="B32" s="165"/>
      <c r="C32" s="165"/>
      <c r="D32" s="165"/>
      <c r="E32" s="168"/>
      <c r="F32" s="168"/>
      <c r="G32" s="168"/>
      <c r="H32" s="168"/>
      <c r="I32" s="168"/>
      <c r="J32" s="168"/>
      <c r="K32" s="168"/>
      <c r="L32" s="168"/>
      <c r="M32" s="75" t="e">
        <f t="shared" si="4"/>
        <v>#DIV/0!</v>
      </c>
      <c r="N32" s="75" t="e">
        <f t="shared" si="5"/>
        <v>#DIV/0!</v>
      </c>
    </row>
    <row r="33" spans="1:14" ht="15.75" thickBot="1" x14ac:dyDescent="0.3">
      <c r="A33" s="166" t="s">
        <v>11</v>
      </c>
      <c r="B33" s="166"/>
      <c r="C33" s="166"/>
      <c r="D33" s="166"/>
      <c r="E33" s="131"/>
      <c r="F33" s="131"/>
      <c r="G33" s="131"/>
      <c r="H33" s="131"/>
      <c r="I33" s="131"/>
      <c r="J33" s="131"/>
      <c r="K33" s="131"/>
      <c r="L33" s="131"/>
      <c r="M33" s="77" t="e">
        <f t="shared" si="4"/>
        <v>#DIV/0!</v>
      </c>
      <c r="N33" s="77" t="e">
        <f t="shared" si="5"/>
        <v>#DIV/0!</v>
      </c>
    </row>
    <row r="34" spans="1:14" x14ac:dyDescent="0.25">
      <c r="M34" s="76"/>
      <c r="N34" s="76"/>
    </row>
    <row r="35" spans="1:14" ht="15.75" thickBot="1" x14ac:dyDescent="0.3">
      <c r="A35" s="1" t="s">
        <v>14</v>
      </c>
      <c r="M35" s="76"/>
      <c r="N35" s="76"/>
    </row>
    <row r="36" spans="1:14" ht="15" customHeight="1" x14ac:dyDescent="0.25">
      <c r="A36" s="191" t="s">
        <v>211</v>
      </c>
      <c r="B36" s="191"/>
      <c r="C36" s="191"/>
      <c r="D36" s="191"/>
      <c r="E36" s="146" t="s">
        <v>16</v>
      </c>
      <c r="F36" s="146"/>
      <c r="G36" s="172" t="s">
        <v>191</v>
      </c>
      <c r="H36" s="173"/>
      <c r="I36" s="148" t="s">
        <v>175</v>
      </c>
      <c r="J36" s="149"/>
      <c r="K36" s="146" t="s">
        <v>176</v>
      </c>
      <c r="L36" s="146"/>
      <c r="M36" s="25" t="s">
        <v>48</v>
      </c>
      <c r="N36" s="25" t="s">
        <v>48</v>
      </c>
    </row>
    <row r="37" spans="1:14" x14ac:dyDescent="0.25">
      <c r="A37" s="192"/>
      <c r="B37" s="192"/>
      <c r="C37" s="192"/>
      <c r="D37" s="192"/>
      <c r="E37" s="147"/>
      <c r="F37" s="147"/>
      <c r="G37" s="174"/>
      <c r="H37" s="175"/>
      <c r="I37" s="150"/>
      <c r="J37" s="151"/>
      <c r="K37" s="147"/>
      <c r="L37" s="147"/>
      <c r="M37" s="28" t="s">
        <v>170</v>
      </c>
      <c r="N37" s="26" t="s">
        <v>174</v>
      </c>
    </row>
    <row r="38" spans="1:14" ht="15.75" thickBot="1" x14ac:dyDescent="0.3">
      <c r="A38" s="153">
        <v>1</v>
      </c>
      <c r="B38" s="154"/>
      <c r="C38" s="154"/>
      <c r="D38" s="155"/>
      <c r="E38" s="152">
        <v>2</v>
      </c>
      <c r="F38" s="152"/>
      <c r="G38" s="152">
        <v>3</v>
      </c>
      <c r="H38" s="152"/>
      <c r="I38" s="152">
        <v>4</v>
      </c>
      <c r="J38" s="152"/>
      <c r="K38" s="152">
        <v>5</v>
      </c>
      <c r="L38" s="152"/>
      <c r="M38" s="27">
        <v>6</v>
      </c>
      <c r="N38" s="27">
        <v>7</v>
      </c>
    </row>
    <row r="39" spans="1:14" x14ac:dyDescent="0.25">
      <c r="A39" s="164" t="s">
        <v>12</v>
      </c>
      <c r="B39" s="164"/>
      <c r="C39" s="164"/>
      <c r="D39" s="164"/>
      <c r="E39" s="167">
        <f>E21</f>
        <v>13743.052624593536</v>
      </c>
      <c r="F39" s="167"/>
      <c r="G39" s="167">
        <f>G21</f>
        <v>30664.7</v>
      </c>
      <c r="H39" s="167"/>
      <c r="I39" s="167">
        <f>I21</f>
        <v>30664.7</v>
      </c>
      <c r="J39" s="167"/>
      <c r="K39" s="167">
        <f>K21</f>
        <v>30664.7</v>
      </c>
      <c r="L39" s="167"/>
      <c r="M39" s="84">
        <f t="shared" si="4"/>
        <v>223.12873884456175</v>
      </c>
      <c r="N39" s="84">
        <f t="shared" si="5"/>
        <v>100</v>
      </c>
    </row>
    <row r="40" spans="1:14" ht="9.75" customHeight="1" x14ac:dyDescent="0.25">
      <c r="A40" s="176" t="s">
        <v>15</v>
      </c>
      <c r="B40" s="176"/>
      <c r="C40" s="176"/>
      <c r="D40" s="176"/>
      <c r="E40" s="187">
        <f>E25</f>
        <v>30664.702622602228</v>
      </c>
      <c r="F40" s="188"/>
      <c r="G40" s="187">
        <f>G25</f>
        <v>0</v>
      </c>
      <c r="H40" s="188"/>
      <c r="I40" s="187">
        <f t="shared" ref="I40" si="12">I25</f>
        <v>0</v>
      </c>
      <c r="J40" s="188"/>
      <c r="K40" s="187">
        <f>K25</f>
        <v>15497.10999999987</v>
      </c>
      <c r="L40" s="188"/>
      <c r="M40" s="162">
        <f>K40/E40*100</f>
        <v>50.537291004339679</v>
      </c>
      <c r="N40" s="162" t="e">
        <f t="shared" si="5"/>
        <v>#DIV/0!</v>
      </c>
    </row>
    <row r="41" spans="1:14" ht="15.75" thickBot="1" x14ac:dyDescent="0.3">
      <c r="A41" s="177"/>
      <c r="B41" s="177"/>
      <c r="C41" s="177"/>
      <c r="D41" s="177"/>
      <c r="E41" s="189"/>
      <c r="F41" s="190"/>
      <c r="G41" s="189"/>
      <c r="H41" s="190"/>
      <c r="I41" s="189"/>
      <c r="J41" s="190"/>
      <c r="K41" s="189"/>
      <c r="L41" s="190"/>
      <c r="M41" s="163"/>
      <c r="N41" s="163"/>
    </row>
  </sheetData>
  <customSheetViews>
    <customSheetView guid="{005C429F-8448-44DF-83AD-8A930973E873}" topLeftCell="A10">
      <selection activeCell="N35" sqref="N35"/>
      <pageMargins left="0.7" right="0.7" top="0.75" bottom="0.75" header="0.3" footer="0.3"/>
      <pageSetup paperSize="9" scale="92" orientation="portrait" r:id="rId1"/>
    </customSheetView>
  </customSheetViews>
  <mergeCells count="101">
    <mergeCell ref="A28:D29"/>
    <mergeCell ref="G15:H16"/>
    <mergeCell ref="G17:H17"/>
    <mergeCell ref="G19:H19"/>
    <mergeCell ref="G20:H20"/>
    <mergeCell ref="G21:H21"/>
    <mergeCell ref="I19:J19"/>
    <mergeCell ref="I20:J20"/>
    <mergeCell ref="I21:J21"/>
    <mergeCell ref="I22:J22"/>
    <mergeCell ref="I23:J23"/>
    <mergeCell ref="I24:J24"/>
    <mergeCell ref="A19:D19"/>
    <mergeCell ref="A20:D20"/>
    <mergeCell ref="E19:F19"/>
    <mergeCell ref="E20:F20"/>
    <mergeCell ref="I39:J39"/>
    <mergeCell ref="K39:L39"/>
    <mergeCell ref="E40:F41"/>
    <mergeCell ref="I40:J41"/>
    <mergeCell ref="K40:L41"/>
    <mergeCell ref="G39:H39"/>
    <mergeCell ref="G40:H41"/>
    <mergeCell ref="G36:H37"/>
    <mergeCell ref="A30:D30"/>
    <mergeCell ref="E30:F30"/>
    <mergeCell ref="G30:H30"/>
    <mergeCell ref="I30:J30"/>
    <mergeCell ref="K30:L30"/>
    <mergeCell ref="A38:D38"/>
    <mergeCell ref="E38:F38"/>
    <mergeCell ref="G38:H38"/>
    <mergeCell ref="I38:J38"/>
    <mergeCell ref="K38:L38"/>
    <mergeCell ref="K36:L37"/>
    <mergeCell ref="A36:D37"/>
    <mergeCell ref="E36:F37"/>
    <mergeCell ref="I36:J37"/>
    <mergeCell ref="G31:H31"/>
    <mergeCell ref="G32:H32"/>
    <mergeCell ref="K19:L19"/>
    <mergeCell ref="K20:L20"/>
    <mergeCell ref="A21:D21"/>
    <mergeCell ref="A23:D23"/>
    <mergeCell ref="A24:D24"/>
    <mergeCell ref="A22:D22"/>
    <mergeCell ref="E21:F21"/>
    <mergeCell ref="E22:F22"/>
    <mergeCell ref="E23:F23"/>
    <mergeCell ref="E24:F24"/>
    <mergeCell ref="G22:H22"/>
    <mergeCell ref="G23:H23"/>
    <mergeCell ref="G24:H24"/>
    <mergeCell ref="M40:M41"/>
    <mergeCell ref="N40:N41"/>
    <mergeCell ref="K25:L25"/>
    <mergeCell ref="A31:D31"/>
    <mergeCell ref="A32:D32"/>
    <mergeCell ref="A33:D33"/>
    <mergeCell ref="E31:F31"/>
    <mergeCell ref="I31:J31"/>
    <mergeCell ref="I32:J32"/>
    <mergeCell ref="I33:J33"/>
    <mergeCell ref="K31:L31"/>
    <mergeCell ref="K32:L32"/>
    <mergeCell ref="K33:L33"/>
    <mergeCell ref="E32:F32"/>
    <mergeCell ref="E33:F33"/>
    <mergeCell ref="K28:L29"/>
    <mergeCell ref="A25:D25"/>
    <mergeCell ref="E25:F25"/>
    <mergeCell ref="G25:H25"/>
    <mergeCell ref="G28:H29"/>
    <mergeCell ref="E28:F29"/>
    <mergeCell ref="A40:D41"/>
    <mergeCell ref="A39:D39"/>
    <mergeCell ref="E39:F39"/>
    <mergeCell ref="G33:H33"/>
    <mergeCell ref="A12:N12"/>
    <mergeCell ref="A9:N9"/>
    <mergeCell ref="A5:N7"/>
    <mergeCell ref="A11:N11"/>
    <mergeCell ref="A18:D18"/>
    <mergeCell ref="E18:F18"/>
    <mergeCell ref="G18:H18"/>
    <mergeCell ref="I18:J18"/>
    <mergeCell ref="K18:L18"/>
    <mergeCell ref="A15:D16"/>
    <mergeCell ref="E15:F16"/>
    <mergeCell ref="I15:J16"/>
    <mergeCell ref="K15:L16"/>
    <mergeCell ref="E17:F17"/>
    <mergeCell ref="I17:J17"/>
    <mergeCell ref="K17:L17"/>
    <mergeCell ref="A17:D17"/>
    <mergeCell ref="K21:L21"/>
    <mergeCell ref="K22:L22"/>
    <mergeCell ref="K23:L23"/>
    <mergeCell ref="K24:L24"/>
    <mergeCell ref="I25:J25"/>
    <mergeCell ref="I28:J29"/>
  </mergeCells>
  <pageMargins left="0.7" right="0.7" top="0.75" bottom="0.75" header="0.3" footer="0.3"/>
  <pageSetup paperSize="9" scale="64" orientation="portrait" horizontalDpi="300" verticalDpi="300" r:id="rId2"/>
  <ignoredErrors>
    <ignoredError sqref="M20:M21 M31:N33 M23:M24 M25 N40 N39 N41 N25 N23:N24 N20:N21 N18 N2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opLeftCell="A88" zoomScaleNormal="100" workbookViewId="0">
      <selection activeCell="A99" sqref="A99:XFD99"/>
    </sheetView>
  </sheetViews>
  <sheetFormatPr defaultRowHeight="15" x14ac:dyDescent="0.25"/>
  <cols>
    <col min="1" max="1" width="5.28515625" customWidth="1"/>
    <col min="2" max="5" width="8.85546875" customWidth="1"/>
    <col min="6" max="6" width="12.28515625" customWidth="1"/>
    <col min="7" max="18" width="8.85546875" customWidth="1"/>
    <col min="19" max="19" width="13.7109375" bestFit="1" customWidth="1"/>
    <col min="20" max="20" width="8.85546875" customWidth="1"/>
  </cols>
  <sheetData>
    <row r="1" spans="1:17" x14ac:dyDescent="0.25">
      <c r="A1" s="1" t="s">
        <v>19</v>
      </c>
    </row>
    <row r="2" spans="1:17" x14ac:dyDescent="0.25">
      <c r="A2" t="s">
        <v>17</v>
      </c>
    </row>
    <row r="3" spans="1:17" x14ac:dyDescent="0.25">
      <c r="A3" t="s">
        <v>18</v>
      </c>
    </row>
    <row r="5" spans="1:17" x14ac:dyDescent="0.25">
      <c r="A5" s="132" t="s">
        <v>208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</row>
    <row r="6" spans="1:17" x14ac:dyDescent="0.25">
      <c r="A6" s="132" t="s">
        <v>210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7" x14ac:dyDescent="0.25">
      <c r="A7" s="132" t="s">
        <v>209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</row>
    <row r="8" spans="1:17" ht="15.75" thickBot="1" x14ac:dyDescent="0.3"/>
    <row r="9" spans="1:17" ht="15" customHeight="1" x14ac:dyDescent="0.25">
      <c r="A9" s="268" t="s">
        <v>23</v>
      </c>
      <c r="B9" s="269"/>
      <c r="C9" s="269"/>
      <c r="D9" s="269"/>
      <c r="E9" s="269"/>
      <c r="F9" s="273"/>
      <c r="G9" s="268" t="s">
        <v>47</v>
      </c>
      <c r="H9" s="269"/>
      <c r="I9" s="268" t="s">
        <v>194</v>
      </c>
      <c r="J9" s="269"/>
      <c r="K9" s="268" t="s">
        <v>177</v>
      </c>
      <c r="L9" s="269"/>
      <c r="M9" s="191" t="s">
        <v>178</v>
      </c>
      <c r="N9" s="191"/>
      <c r="O9" s="25" t="s">
        <v>48</v>
      </c>
      <c r="P9" s="25" t="s">
        <v>48</v>
      </c>
      <c r="Q9" s="2"/>
    </row>
    <row r="10" spans="1:17" x14ac:dyDescent="0.25">
      <c r="A10" s="270"/>
      <c r="B10" s="271"/>
      <c r="C10" s="271"/>
      <c r="D10" s="271"/>
      <c r="E10" s="271"/>
      <c r="F10" s="274"/>
      <c r="G10" s="270"/>
      <c r="H10" s="271"/>
      <c r="I10" s="270"/>
      <c r="J10" s="271"/>
      <c r="K10" s="270"/>
      <c r="L10" s="271"/>
      <c r="M10" s="192"/>
      <c r="N10" s="192"/>
      <c r="O10" s="28" t="s">
        <v>170</v>
      </c>
      <c r="P10" s="26" t="s">
        <v>174</v>
      </c>
      <c r="Q10" s="2"/>
    </row>
    <row r="11" spans="1:17" ht="15.75" thickBot="1" x14ac:dyDescent="0.3">
      <c r="A11" s="266">
        <v>1</v>
      </c>
      <c r="B11" s="267"/>
      <c r="C11" s="267"/>
      <c r="D11" s="267"/>
      <c r="E11" s="267"/>
      <c r="F11" s="272"/>
      <c r="G11" s="266">
        <v>2</v>
      </c>
      <c r="H11" s="267"/>
      <c r="I11" s="266">
        <v>3</v>
      </c>
      <c r="J11" s="267"/>
      <c r="K11" s="266">
        <v>4</v>
      </c>
      <c r="L11" s="267"/>
      <c r="M11" s="266">
        <v>5</v>
      </c>
      <c r="N11" s="267"/>
      <c r="O11" s="27">
        <v>6</v>
      </c>
      <c r="P11" s="27">
        <v>7</v>
      </c>
      <c r="Q11" s="2"/>
    </row>
    <row r="12" spans="1:17" x14ac:dyDescent="0.25">
      <c r="A12" s="9">
        <v>6</v>
      </c>
      <c r="B12" s="246" t="s">
        <v>49</v>
      </c>
      <c r="C12" s="246"/>
      <c r="D12" s="246"/>
      <c r="E12" s="246"/>
      <c r="F12" s="247"/>
      <c r="G12" s="251">
        <f>G13+G31+G37+G44</f>
        <v>1697321.625854403</v>
      </c>
      <c r="H12" s="252"/>
      <c r="I12" s="251">
        <f>I13+I31+I37+I44</f>
        <v>1736250.0799999998</v>
      </c>
      <c r="J12" s="252"/>
      <c r="K12" s="251">
        <f>K13+K31+K37+K44</f>
        <v>1921633.23</v>
      </c>
      <c r="L12" s="252"/>
      <c r="M12" s="251">
        <f>M13+M31+M37+M44</f>
        <v>2012718.2199999997</v>
      </c>
      <c r="N12" s="252"/>
      <c r="O12" s="57">
        <f>(M12/G12)*100</f>
        <v>118.58201706390392</v>
      </c>
      <c r="P12" s="57">
        <f>M12/K12*100</f>
        <v>104.73997787808862</v>
      </c>
      <c r="Q12" s="2"/>
    </row>
    <row r="13" spans="1:17" ht="15" customHeight="1" x14ac:dyDescent="0.25">
      <c r="A13" s="10">
        <v>63</v>
      </c>
      <c r="B13" s="277" t="s">
        <v>24</v>
      </c>
      <c r="C13" s="277"/>
      <c r="D13" s="277"/>
      <c r="E13" s="277"/>
      <c r="F13" s="278"/>
      <c r="G13" s="228">
        <f>G15+G17+G23+G25</f>
        <v>1489545.8305129737</v>
      </c>
      <c r="H13" s="229"/>
      <c r="I13" s="228">
        <f t="shared" ref="I13" si="0">I15+I17+I23+I25</f>
        <v>1537861.4</v>
      </c>
      <c r="J13" s="229"/>
      <c r="K13" s="228">
        <f>K15+K17+K23+K25</f>
        <v>1551565.44</v>
      </c>
      <c r="L13" s="229"/>
      <c r="M13" s="228">
        <f>M15+M17+M23+M25</f>
        <v>1649567.66</v>
      </c>
      <c r="N13" s="229"/>
      <c r="O13" s="250">
        <f>M13/G13*100</f>
        <v>110.74299469066472</v>
      </c>
      <c r="P13" s="250">
        <f>M13/K13*100</f>
        <v>106.3163446074179</v>
      </c>
      <c r="Q13" s="2"/>
    </row>
    <row r="14" spans="1:17" ht="15" customHeight="1" x14ac:dyDescent="0.25">
      <c r="A14" s="11"/>
      <c r="B14" s="277"/>
      <c r="C14" s="277"/>
      <c r="D14" s="277"/>
      <c r="E14" s="277"/>
      <c r="F14" s="278"/>
      <c r="G14" s="230"/>
      <c r="H14" s="231"/>
      <c r="I14" s="230"/>
      <c r="J14" s="231"/>
      <c r="K14" s="230"/>
      <c r="L14" s="231"/>
      <c r="M14" s="230"/>
      <c r="N14" s="231"/>
      <c r="O14" s="250"/>
      <c r="P14" s="250"/>
      <c r="Q14" s="2"/>
    </row>
    <row r="15" spans="1:17" x14ac:dyDescent="0.25">
      <c r="A15" s="12">
        <v>634</v>
      </c>
      <c r="B15" s="4" t="s">
        <v>25</v>
      </c>
      <c r="C15" s="4"/>
      <c r="D15" s="4"/>
      <c r="E15" s="4"/>
      <c r="F15" s="13"/>
      <c r="G15" s="232">
        <f t="shared" ref="G15" si="1">G16</f>
        <v>0</v>
      </c>
      <c r="H15" s="233"/>
      <c r="I15" s="232">
        <f t="shared" ref="I15:K15" si="2">I16</f>
        <v>0</v>
      </c>
      <c r="J15" s="233"/>
      <c r="K15" s="232">
        <f t="shared" si="2"/>
        <v>0</v>
      </c>
      <c r="L15" s="233"/>
      <c r="M15" s="232">
        <f t="shared" ref="M15" si="3">M16</f>
        <v>0</v>
      </c>
      <c r="N15" s="233"/>
      <c r="O15" s="58" t="e">
        <f>M15/G15</f>
        <v>#DIV/0!</v>
      </c>
      <c r="P15" s="58" t="e">
        <f>M15/K15*100</f>
        <v>#DIV/0!</v>
      </c>
      <c r="Q15" s="2"/>
    </row>
    <row r="16" spans="1:17" x14ac:dyDescent="0.25">
      <c r="A16" s="14">
        <v>6341</v>
      </c>
      <c r="B16" s="7" t="s">
        <v>26</v>
      </c>
      <c r="C16" s="7"/>
      <c r="D16" s="7"/>
      <c r="E16" s="7"/>
      <c r="F16" s="15"/>
      <c r="G16" s="254"/>
      <c r="H16" s="255"/>
      <c r="I16" s="254"/>
      <c r="J16" s="255"/>
      <c r="K16" s="254"/>
      <c r="L16" s="255"/>
      <c r="M16" s="254"/>
      <c r="N16" s="255"/>
      <c r="O16" s="58" t="e">
        <f>M16/G16</f>
        <v>#DIV/0!</v>
      </c>
      <c r="P16" s="58" t="e">
        <f>M16/K16*100</f>
        <v>#DIV/0!</v>
      </c>
      <c r="Q16" s="2"/>
    </row>
    <row r="17" spans="1:19" x14ac:dyDescent="0.25">
      <c r="A17" s="16">
        <v>636</v>
      </c>
      <c r="B17" s="279" t="s">
        <v>27</v>
      </c>
      <c r="C17" s="279"/>
      <c r="D17" s="279"/>
      <c r="E17" s="279"/>
      <c r="F17" s="280"/>
      <c r="G17" s="256">
        <f t="shared" ref="G17" si="4">G19+G21</f>
        <v>1460434.1628508859</v>
      </c>
      <c r="H17" s="257"/>
      <c r="I17" s="256">
        <f t="shared" ref="I17" si="5">I19+I21</f>
        <v>1537861.4</v>
      </c>
      <c r="J17" s="257"/>
      <c r="K17" s="256">
        <f>K19+K21</f>
        <v>1540517.42</v>
      </c>
      <c r="L17" s="257"/>
      <c r="M17" s="256">
        <f t="shared" ref="M17" si="6">M19+M21</f>
        <v>1638519.64</v>
      </c>
      <c r="N17" s="257"/>
      <c r="O17" s="217">
        <f>M17/G17*100</f>
        <v>112.19400926649625</v>
      </c>
      <c r="P17" s="217">
        <f>M17/K17*100</f>
        <v>106.361643090021</v>
      </c>
      <c r="Q17" s="2"/>
    </row>
    <row r="18" spans="1:19" x14ac:dyDescent="0.25">
      <c r="A18" s="11"/>
      <c r="B18" s="279"/>
      <c r="C18" s="279"/>
      <c r="D18" s="279"/>
      <c r="E18" s="279"/>
      <c r="F18" s="280"/>
      <c r="G18" s="258"/>
      <c r="H18" s="259"/>
      <c r="I18" s="258"/>
      <c r="J18" s="259"/>
      <c r="K18" s="258"/>
      <c r="L18" s="259"/>
      <c r="M18" s="258"/>
      <c r="N18" s="259"/>
      <c r="O18" s="217"/>
      <c r="P18" s="217"/>
      <c r="Q18" s="2"/>
    </row>
    <row r="19" spans="1:19" ht="15" customHeight="1" x14ac:dyDescent="0.25">
      <c r="A19" s="17">
        <v>6361</v>
      </c>
      <c r="B19" s="281" t="s">
        <v>28</v>
      </c>
      <c r="C19" s="281"/>
      <c r="D19" s="281"/>
      <c r="E19" s="281"/>
      <c r="F19" s="282"/>
      <c r="G19" s="224">
        <f>10994251.55/7.5345</f>
        <v>1459187.9421328555</v>
      </c>
      <c r="H19" s="225"/>
      <c r="I19" s="224">
        <f>40161.4+1496700</f>
        <v>1536861.4</v>
      </c>
      <c r="J19" s="225"/>
      <c r="K19" s="224">
        <f>1496700+11147.39+1228.82+25000+150+2864.01+1427.2</f>
        <v>1538517.42</v>
      </c>
      <c r="L19" s="225"/>
      <c r="M19" s="224">
        <v>1637722.64</v>
      </c>
      <c r="N19" s="225"/>
      <c r="O19" s="217">
        <f>M19/G19*100</f>
        <v>112.23520923604843</v>
      </c>
      <c r="P19" s="217">
        <f t="shared" ref="P19" si="7">M19/K19*100</f>
        <v>106.44810508547897</v>
      </c>
      <c r="Q19" s="2"/>
      <c r="R19" s="35"/>
    </row>
    <row r="20" spans="1:19" x14ac:dyDescent="0.25">
      <c r="A20" s="18"/>
      <c r="B20" s="283"/>
      <c r="C20" s="283"/>
      <c r="D20" s="283"/>
      <c r="E20" s="283"/>
      <c r="F20" s="284"/>
      <c r="G20" s="226"/>
      <c r="H20" s="227"/>
      <c r="I20" s="226"/>
      <c r="J20" s="227"/>
      <c r="K20" s="226"/>
      <c r="L20" s="227"/>
      <c r="M20" s="226"/>
      <c r="N20" s="227"/>
      <c r="O20" s="217"/>
      <c r="P20" s="217"/>
      <c r="Q20" s="2"/>
    </row>
    <row r="21" spans="1:19" ht="15" customHeight="1" x14ac:dyDescent="0.25">
      <c r="A21" s="17">
        <v>6362</v>
      </c>
      <c r="B21" s="281" t="s">
        <v>29</v>
      </c>
      <c r="C21" s="281"/>
      <c r="D21" s="281"/>
      <c r="E21" s="281"/>
      <c r="F21" s="282"/>
      <c r="G21" s="224">
        <f>9389.65/7.5345</f>
        <v>1246.2207180303933</v>
      </c>
      <c r="H21" s="225"/>
      <c r="I21" s="224">
        <v>1000</v>
      </c>
      <c r="J21" s="225"/>
      <c r="K21" s="224">
        <v>2000</v>
      </c>
      <c r="L21" s="225"/>
      <c r="M21" s="224">
        <v>797</v>
      </c>
      <c r="N21" s="225"/>
      <c r="O21" s="217">
        <f t="shared" ref="O21" si="8">M21/G21*100</f>
        <v>63.953358218889953</v>
      </c>
      <c r="P21" s="217">
        <f t="shared" ref="P21" si="9">M21/K21*100</f>
        <v>39.85</v>
      </c>
      <c r="Q21" s="2"/>
    </row>
    <row r="22" spans="1:19" x14ac:dyDescent="0.25">
      <c r="A22" s="18"/>
      <c r="B22" s="283"/>
      <c r="C22" s="283"/>
      <c r="D22" s="283"/>
      <c r="E22" s="283"/>
      <c r="F22" s="284"/>
      <c r="G22" s="226"/>
      <c r="H22" s="227"/>
      <c r="I22" s="226"/>
      <c r="J22" s="227"/>
      <c r="K22" s="226"/>
      <c r="L22" s="227"/>
      <c r="M22" s="226"/>
      <c r="N22" s="227"/>
      <c r="O22" s="217"/>
      <c r="P22" s="217"/>
      <c r="Q22" s="2"/>
    </row>
    <row r="23" spans="1:19" x14ac:dyDescent="0.25">
      <c r="A23" s="12">
        <v>638</v>
      </c>
      <c r="B23" s="4" t="s">
        <v>40</v>
      </c>
      <c r="C23" s="4"/>
      <c r="D23" s="4"/>
      <c r="E23" s="4"/>
      <c r="F23" s="13"/>
      <c r="G23" s="232">
        <f t="shared" ref="G23" si="10">G24</f>
        <v>25026.896277125223</v>
      </c>
      <c r="H23" s="233"/>
      <c r="I23" s="232">
        <f t="shared" ref="I23:K23" si="11">I24</f>
        <v>0</v>
      </c>
      <c r="J23" s="233"/>
      <c r="K23" s="232">
        <f t="shared" si="11"/>
        <v>0</v>
      </c>
      <c r="L23" s="233"/>
      <c r="M23" s="232">
        <f t="shared" ref="M23" si="12">M24</f>
        <v>0</v>
      </c>
      <c r="N23" s="233"/>
      <c r="O23" s="58">
        <f>M23/G23*100</f>
        <v>0</v>
      </c>
      <c r="P23" s="58" t="e">
        <f>M23/K23*100</f>
        <v>#DIV/0!</v>
      </c>
      <c r="Q23" s="2"/>
    </row>
    <row r="24" spans="1:19" x14ac:dyDescent="0.25">
      <c r="A24" s="14">
        <v>6381</v>
      </c>
      <c r="B24" s="7" t="s">
        <v>40</v>
      </c>
      <c r="C24" s="7"/>
      <c r="D24" s="7"/>
      <c r="E24" s="7"/>
      <c r="F24" s="15"/>
      <c r="G24" s="254">
        <f>188565.15/7.5345</f>
        <v>25026.896277125223</v>
      </c>
      <c r="H24" s="255"/>
      <c r="I24" s="254"/>
      <c r="J24" s="255"/>
      <c r="K24" s="254"/>
      <c r="L24" s="255"/>
      <c r="M24" s="254"/>
      <c r="N24" s="255"/>
      <c r="O24" s="58">
        <f>M24/G24*100</f>
        <v>0</v>
      </c>
      <c r="P24" s="58" t="e">
        <f>M24/K24*100</f>
        <v>#DIV/0!</v>
      </c>
      <c r="Q24" s="2"/>
    </row>
    <row r="25" spans="1:19" x14ac:dyDescent="0.25">
      <c r="A25" s="16">
        <v>639</v>
      </c>
      <c r="B25" s="285" t="s">
        <v>159</v>
      </c>
      <c r="C25" s="285"/>
      <c r="D25" s="285"/>
      <c r="E25" s="285"/>
      <c r="F25" s="286"/>
      <c r="G25" s="256">
        <f>G27+G29</f>
        <v>4084.7713849625056</v>
      </c>
      <c r="H25" s="257"/>
      <c r="I25" s="256">
        <f t="shared" ref="I25" si="13">I27+I29</f>
        <v>0</v>
      </c>
      <c r="J25" s="257"/>
      <c r="K25" s="256">
        <f>K27+K29</f>
        <v>11048.019999999999</v>
      </c>
      <c r="L25" s="257"/>
      <c r="M25" s="256">
        <f>M27+M29</f>
        <v>11048.019999999999</v>
      </c>
      <c r="N25" s="257"/>
      <c r="O25" s="217">
        <f>M25/G25*100</f>
        <v>270.46850261122779</v>
      </c>
      <c r="P25" s="218">
        <f>M25/K25*100</f>
        <v>100</v>
      </c>
      <c r="Q25" s="2"/>
    </row>
    <row r="26" spans="1:19" x14ac:dyDescent="0.25">
      <c r="A26" s="11"/>
      <c r="B26" s="287"/>
      <c r="C26" s="287"/>
      <c r="D26" s="287"/>
      <c r="E26" s="287"/>
      <c r="F26" s="288"/>
      <c r="G26" s="258"/>
      <c r="H26" s="259"/>
      <c r="I26" s="258"/>
      <c r="J26" s="259"/>
      <c r="K26" s="258"/>
      <c r="L26" s="259"/>
      <c r="M26" s="258"/>
      <c r="N26" s="259"/>
      <c r="O26" s="217"/>
      <c r="P26" s="219"/>
      <c r="Q26" s="2"/>
    </row>
    <row r="27" spans="1:19" x14ac:dyDescent="0.25">
      <c r="A27" s="17">
        <v>6391</v>
      </c>
      <c r="B27" s="220" t="s">
        <v>162</v>
      </c>
      <c r="C27" s="220"/>
      <c r="D27" s="220"/>
      <c r="E27" s="220"/>
      <c r="F27" s="221"/>
      <c r="G27" s="224">
        <f>3043.56/7.5345</f>
        <v>403.94983077841925</v>
      </c>
      <c r="H27" s="225"/>
      <c r="I27" s="224"/>
      <c r="J27" s="225"/>
      <c r="K27" s="224">
        <f>1204.3+198.72+154.62</f>
        <v>1557.6399999999999</v>
      </c>
      <c r="L27" s="225"/>
      <c r="M27" s="224">
        <v>1557.64</v>
      </c>
      <c r="N27" s="225"/>
      <c r="O27" s="217">
        <f>M27/G27*100</f>
        <v>385.60234002286802</v>
      </c>
      <c r="P27" s="218">
        <f>M27/K27*100</f>
        <v>100.00000000000003</v>
      </c>
      <c r="Q27" s="2"/>
      <c r="S27" s="35"/>
    </row>
    <row r="28" spans="1:19" x14ac:dyDescent="0.25">
      <c r="A28" s="11"/>
      <c r="B28" s="222"/>
      <c r="C28" s="222"/>
      <c r="D28" s="222"/>
      <c r="E28" s="222"/>
      <c r="F28" s="223"/>
      <c r="G28" s="226"/>
      <c r="H28" s="227"/>
      <c r="I28" s="226"/>
      <c r="J28" s="227"/>
      <c r="K28" s="226"/>
      <c r="L28" s="227"/>
      <c r="M28" s="226"/>
      <c r="N28" s="227"/>
      <c r="O28" s="217"/>
      <c r="P28" s="219"/>
      <c r="Q28" s="2"/>
    </row>
    <row r="29" spans="1:19" x14ac:dyDescent="0.25">
      <c r="A29" s="17">
        <v>6393</v>
      </c>
      <c r="B29" s="220" t="s">
        <v>160</v>
      </c>
      <c r="C29" s="220"/>
      <c r="D29" s="220"/>
      <c r="E29" s="220"/>
      <c r="F29" s="221"/>
      <c r="G29" s="224">
        <f>27733.15/7.5345</f>
        <v>3680.8215541840864</v>
      </c>
      <c r="H29" s="225"/>
      <c r="I29" s="224"/>
      <c r="J29" s="225"/>
      <c r="K29" s="224">
        <f>7716.48+1428+345.9</f>
        <v>9490.3799999999992</v>
      </c>
      <c r="L29" s="225"/>
      <c r="M29" s="224">
        <v>9490.3799999999992</v>
      </c>
      <c r="N29" s="225"/>
      <c r="O29" s="217">
        <f>M29/G29*100</f>
        <v>257.83320001514431</v>
      </c>
      <c r="P29" s="218">
        <f>M29/K29*100</f>
        <v>100</v>
      </c>
      <c r="Q29" s="2"/>
    </row>
    <row r="30" spans="1:19" x14ac:dyDescent="0.25">
      <c r="A30" s="18"/>
      <c r="B30" s="222"/>
      <c r="C30" s="222"/>
      <c r="D30" s="222"/>
      <c r="E30" s="222"/>
      <c r="F30" s="223"/>
      <c r="G30" s="226"/>
      <c r="H30" s="227"/>
      <c r="I30" s="226"/>
      <c r="J30" s="227"/>
      <c r="K30" s="226"/>
      <c r="L30" s="227"/>
      <c r="M30" s="226"/>
      <c r="N30" s="227"/>
      <c r="O30" s="217"/>
      <c r="P30" s="219"/>
      <c r="Q30" s="2"/>
    </row>
    <row r="31" spans="1:19" x14ac:dyDescent="0.25">
      <c r="A31" s="10">
        <v>65</v>
      </c>
      <c r="B31" s="277" t="s">
        <v>30</v>
      </c>
      <c r="C31" s="277"/>
      <c r="D31" s="277"/>
      <c r="E31" s="277"/>
      <c r="F31" s="278"/>
      <c r="G31" s="228">
        <f t="shared" ref="G31" si="14">G33</f>
        <v>3155.4688433207248</v>
      </c>
      <c r="H31" s="229"/>
      <c r="I31" s="228">
        <f t="shared" ref="I31" si="15">I33</f>
        <v>600</v>
      </c>
      <c r="J31" s="229"/>
      <c r="K31" s="228">
        <f>K33</f>
        <v>600</v>
      </c>
      <c r="L31" s="229"/>
      <c r="M31" s="228">
        <f t="shared" ref="M31" si="16">M33</f>
        <v>1368.97</v>
      </c>
      <c r="N31" s="229"/>
      <c r="O31" s="250">
        <f>M31/G31*100</f>
        <v>43.384044272778667</v>
      </c>
      <c r="P31" s="250">
        <f>M31/K31*100</f>
        <v>228.16166666666669</v>
      </c>
      <c r="Q31" s="2"/>
    </row>
    <row r="32" spans="1:19" x14ac:dyDescent="0.25">
      <c r="A32" s="11"/>
      <c r="B32" s="277"/>
      <c r="C32" s="277"/>
      <c r="D32" s="277"/>
      <c r="E32" s="277"/>
      <c r="F32" s="278"/>
      <c r="G32" s="230"/>
      <c r="H32" s="231"/>
      <c r="I32" s="230"/>
      <c r="J32" s="231"/>
      <c r="K32" s="230"/>
      <c r="L32" s="231"/>
      <c r="M32" s="230"/>
      <c r="N32" s="231"/>
      <c r="O32" s="250"/>
      <c r="P32" s="250"/>
      <c r="Q32" s="2"/>
    </row>
    <row r="33" spans="1:19" x14ac:dyDescent="0.25">
      <c r="A33" s="12">
        <v>652</v>
      </c>
      <c r="B33" s="4" t="s">
        <v>31</v>
      </c>
      <c r="C33" s="4"/>
      <c r="D33" s="4"/>
      <c r="E33" s="4"/>
      <c r="F33" s="13"/>
      <c r="G33" s="232">
        <f t="shared" ref="G33" si="17">G34+G35</f>
        <v>3155.4688433207248</v>
      </c>
      <c r="H33" s="233"/>
      <c r="I33" s="232">
        <f t="shared" ref="I33:K33" si="18">I34+I35</f>
        <v>600</v>
      </c>
      <c r="J33" s="233"/>
      <c r="K33" s="232">
        <f t="shared" si="18"/>
        <v>600</v>
      </c>
      <c r="L33" s="233"/>
      <c r="M33" s="232">
        <f t="shared" ref="M33" si="19">M34+M35</f>
        <v>1368.97</v>
      </c>
      <c r="N33" s="233"/>
      <c r="O33" s="58">
        <f>M33/G33*100</f>
        <v>43.384044272778667</v>
      </c>
      <c r="P33" s="58">
        <f>M33/K33*100</f>
        <v>228.16166666666669</v>
      </c>
      <c r="Q33" s="2"/>
      <c r="S33" s="35"/>
    </row>
    <row r="34" spans="1:19" x14ac:dyDescent="0.25">
      <c r="A34" s="14">
        <v>6526</v>
      </c>
      <c r="B34" s="7" t="s">
        <v>32</v>
      </c>
      <c r="C34" s="7"/>
      <c r="D34" s="7"/>
      <c r="E34" s="7"/>
      <c r="F34" s="15"/>
      <c r="G34" s="254">
        <f>11674.44/7.5345</f>
        <v>1549.4644634680469</v>
      </c>
      <c r="H34" s="255"/>
      <c r="I34" s="254">
        <v>600</v>
      </c>
      <c r="J34" s="255"/>
      <c r="K34" s="254">
        <v>600</v>
      </c>
      <c r="L34" s="255"/>
      <c r="M34" s="254">
        <v>1368.97</v>
      </c>
      <c r="N34" s="255"/>
      <c r="O34" s="58">
        <f>M34/G34*100</f>
        <v>88.351171148252078</v>
      </c>
      <c r="P34" s="58">
        <f>M34/K34*100</f>
        <v>228.16166666666669</v>
      </c>
      <c r="Q34" s="2"/>
    </row>
    <row r="35" spans="1:19" x14ac:dyDescent="0.25">
      <c r="A35" s="17">
        <v>6528</v>
      </c>
      <c r="B35" s="220" t="s">
        <v>161</v>
      </c>
      <c r="C35" s="220"/>
      <c r="D35" s="220"/>
      <c r="E35" s="220"/>
      <c r="F35" s="221"/>
      <c r="G35" s="224">
        <f>12100.44/7.5345</f>
        <v>1606.0043798526776</v>
      </c>
      <c r="H35" s="225"/>
      <c r="I35" s="224"/>
      <c r="J35" s="225"/>
      <c r="K35" s="224"/>
      <c r="L35" s="225"/>
      <c r="M35" s="224"/>
      <c r="N35" s="225"/>
      <c r="O35" s="218">
        <f>M35/G35*100</f>
        <v>0</v>
      </c>
      <c r="P35" s="218" t="e">
        <f>M35/K35*100</f>
        <v>#DIV/0!</v>
      </c>
      <c r="Q35" s="2"/>
    </row>
    <row r="36" spans="1:19" x14ac:dyDescent="0.25">
      <c r="A36" s="18"/>
      <c r="B36" s="222"/>
      <c r="C36" s="222"/>
      <c r="D36" s="222"/>
      <c r="E36" s="222"/>
      <c r="F36" s="223"/>
      <c r="G36" s="226"/>
      <c r="H36" s="227"/>
      <c r="I36" s="226"/>
      <c r="J36" s="227"/>
      <c r="K36" s="226"/>
      <c r="L36" s="227"/>
      <c r="M36" s="226"/>
      <c r="N36" s="227"/>
      <c r="O36" s="219"/>
      <c r="P36" s="219"/>
      <c r="Q36" s="2"/>
    </row>
    <row r="37" spans="1:19" x14ac:dyDescent="0.25">
      <c r="A37" s="10">
        <v>66</v>
      </c>
      <c r="B37" s="277" t="s">
        <v>41</v>
      </c>
      <c r="C37" s="277"/>
      <c r="D37" s="277"/>
      <c r="E37" s="277"/>
      <c r="F37" s="278"/>
      <c r="G37" s="228">
        <f t="shared" ref="G37" si="20">G39+G41</f>
        <v>14643.083150839471</v>
      </c>
      <c r="H37" s="229"/>
      <c r="I37" s="228">
        <f t="shared" ref="I37:K37" si="21">I39+I41</f>
        <v>7000</v>
      </c>
      <c r="J37" s="229"/>
      <c r="K37" s="228">
        <f t="shared" si="21"/>
        <v>12080</v>
      </c>
      <c r="L37" s="229"/>
      <c r="M37" s="228">
        <f t="shared" ref="M37" si="22">M39+M41</f>
        <v>16418</v>
      </c>
      <c r="N37" s="229"/>
      <c r="O37" s="250">
        <f>M37/G37*100</f>
        <v>112.12119627319588</v>
      </c>
      <c r="P37" s="250">
        <f>M37/K37*100</f>
        <v>135.91059602649008</v>
      </c>
      <c r="Q37" s="2"/>
      <c r="S37" s="35"/>
    </row>
    <row r="38" spans="1:19" x14ac:dyDescent="0.25">
      <c r="A38" s="11"/>
      <c r="B38" s="277"/>
      <c r="C38" s="277"/>
      <c r="D38" s="277"/>
      <c r="E38" s="277"/>
      <c r="F38" s="278"/>
      <c r="G38" s="230"/>
      <c r="H38" s="231"/>
      <c r="I38" s="230"/>
      <c r="J38" s="231"/>
      <c r="K38" s="230"/>
      <c r="L38" s="231"/>
      <c r="M38" s="230"/>
      <c r="N38" s="231"/>
      <c r="O38" s="250"/>
      <c r="P38" s="250"/>
      <c r="Q38" s="2"/>
    </row>
    <row r="39" spans="1:19" x14ac:dyDescent="0.25">
      <c r="A39" s="12">
        <v>661</v>
      </c>
      <c r="B39" s="4" t="s">
        <v>33</v>
      </c>
      <c r="C39" s="4"/>
      <c r="D39" s="4"/>
      <c r="E39" s="4"/>
      <c r="F39" s="13"/>
      <c r="G39" s="232">
        <f t="shared" ref="G39" si="23">G40</f>
        <v>4239.1665007631564</v>
      </c>
      <c r="H39" s="233"/>
      <c r="I39" s="232">
        <f t="shared" ref="I39:K39" si="24">I40</f>
        <v>3000</v>
      </c>
      <c r="J39" s="233"/>
      <c r="K39" s="232">
        <f t="shared" si="24"/>
        <v>8080</v>
      </c>
      <c r="L39" s="233"/>
      <c r="M39" s="232">
        <f t="shared" ref="M39" si="25">M40</f>
        <v>6431.45</v>
      </c>
      <c r="N39" s="233"/>
      <c r="O39" s="58">
        <f>M39/G39*100</f>
        <v>151.71496563869755</v>
      </c>
      <c r="P39" s="58">
        <f>M39/K39*100</f>
        <v>79.597153465346537</v>
      </c>
      <c r="Q39" s="2"/>
      <c r="S39" s="35"/>
    </row>
    <row r="40" spans="1:19" x14ac:dyDescent="0.25">
      <c r="A40" s="14">
        <v>6615</v>
      </c>
      <c r="B40" s="7" t="s">
        <v>34</v>
      </c>
      <c r="C40" s="7"/>
      <c r="D40" s="7"/>
      <c r="E40" s="7"/>
      <c r="F40" s="15"/>
      <c r="G40" s="254">
        <f>31940/7.5345</f>
        <v>4239.1665007631564</v>
      </c>
      <c r="H40" s="255"/>
      <c r="I40" s="254">
        <v>3000</v>
      </c>
      <c r="J40" s="255"/>
      <c r="K40" s="254">
        <f>1500+1500+5080</f>
        <v>8080</v>
      </c>
      <c r="L40" s="255"/>
      <c r="M40" s="254">
        <v>6431.45</v>
      </c>
      <c r="N40" s="255"/>
      <c r="O40" s="58">
        <f>M40/G40*100</f>
        <v>151.71496563869755</v>
      </c>
      <c r="P40" s="58">
        <f>M40/K40*100</f>
        <v>79.597153465346537</v>
      </c>
      <c r="Q40" s="2"/>
    </row>
    <row r="41" spans="1:19" x14ac:dyDescent="0.25">
      <c r="A41" s="16">
        <v>663</v>
      </c>
      <c r="B41" s="279" t="s">
        <v>42</v>
      </c>
      <c r="C41" s="279"/>
      <c r="D41" s="279"/>
      <c r="E41" s="279"/>
      <c r="F41" s="280"/>
      <c r="G41" s="256">
        <f t="shared" ref="G41" si="26">G43</f>
        <v>10403.916650076315</v>
      </c>
      <c r="H41" s="257"/>
      <c r="I41" s="228">
        <f t="shared" ref="I41:K41" si="27">I43</f>
        <v>4000</v>
      </c>
      <c r="J41" s="229"/>
      <c r="K41" s="228">
        <f t="shared" si="27"/>
        <v>4000</v>
      </c>
      <c r="L41" s="229"/>
      <c r="M41" s="256">
        <f t="shared" ref="M41" si="28">M43</f>
        <v>9986.5499999999993</v>
      </c>
      <c r="N41" s="257"/>
      <c r="O41" s="217">
        <f>M41/G41*100</f>
        <v>95.988369917657366</v>
      </c>
      <c r="P41" s="217">
        <f>M41/K41*100</f>
        <v>249.66374999999999</v>
      </c>
      <c r="Q41" s="2"/>
    </row>
    <row r="42" spans="1:19" x14ac:dyDescent="0.25">
      <c r="A42" s="11"/>
      <c r="B42" s="279"/>
      <c r="C42" s="279"/>
      <c r="D42" s="279"/>
      <c r="E42" s="279"/>
      <c r="F42" s="280"/>
      <c r="G42" s="258"/>
      <c r="H42" s="259"/>
      <c r="I42" s="230"/>
      <c r="J42" s="231"/>
      <c r="K42" s="230"/>
      <c r="L42" s="231"/>
      <c r="M42" s="258"/>
      <c r="N42" s="259"/>
      <c r="O42" s="217"/>
      <c r="P42" s="217"/>
      <c r="Q42" s="2"/>
    </row>
    <row r="43" spans="1:19" x14ac:dyDescent="0.25">
      <c r="A43" s="14">
        <v>6631</v>
      </c>
      <c r="B43" s="7" t="s">
        <v>35</v>
      </c>
      <c r="C43" s="7"/>
      <c r="D43" s="7"/>
      <c r="E43" s="7"/>
      <c r="F43" s="15"/>
      <c r="G43" s="254">
        <f>78388.31/7.5345</f>
        <v>10403.916650076315</v>
      </c>
      <c r="H43" s="255"/>
      <c r="I43" s="254">
        <v>4000</v>
      </c>
      <c r="J43" s="255"/>
      <c r="K43" s="254">
        <v>4000</v>
      </c>
      <c r="L43" s="255"/>
      <c r="M43" s="254">
        <v>9986.5499999999993</v>
      </c>
      <c r="N43" s="255"/>
      <c r="O43" s="58">
        <f>M43/G43*100</f>
        <v>95.988369917657366</v>
      </c>
      <c r="P43" s="58">
        <f>M43/K43*100</f>
        <v>249.66374999999999</v>
      </c>
      <c r="Q43" s="2"/>
      <c r="S43" s="35"/>
    </row>
    <row r="44" spans="1:19" x14ac:dyDescent="0.25">
      <c r="A44" s="10">
        <v>67</v>
      </c>
      <c r="B44" s="277" t="s">
        <v>36</v>
      </c>
      <c r="C44" s="277"/>
      <c r="D44" s="277"/>
      <c r="E44" s="277"/>
      <c r="F44" s="278"/>
      <c r="G44" s="228">
        <f t="shared" ref="G44" si="29">G46</f>
        <v>189977.24334726922</v>
      </c>
      <c r="H44" s="229"/>
      <c r="I44" s="228">
        <f t="shared" ref="I44:K44" si="30">I46</f>
        <v>190788.68</v>
      </c>
      <c r="J44" s="229"/>
      <c r="K44" s="228">
        <f t="shared" si="30"/>
        <v>357387.79</v>
      </c>
      <c r="L44" s="229"/>
      <c r="M44" s="228">
        <f t="shared" ref="M44" si="31">M46</f>
        <v>345363.58999999997</v>
      </c>
      <c r="N44" s="229"/>
      <c r="O44" s="250">
        <f>M44/G44*100</f>
        <v>181.7920841017216</v>
      </c>
      <c r="P44" s="250">
        <f>M44/K44*100</f>
        <v>96.635531392944344</v>
      </c>
      <c r="Q44" s="2"/>
    </row>
    <row r="45" spans="1:19" x14ac:dyDescent="0.25">
      <c r="A45" s="11"/>
      <c r="B45" s="277"/>
      <c r="C45" s="277"/>
      <c r="D45" s="277"/>
      <c r="E45" s="277"/>
      <c r="F45" s="278"/>
      <c r="G45" s="230"/>
      <c r="H45" s="231"/>
      <c r="I45" s="230"/>
      <c r="J45" s="231"/>
      <c r="K45" s="230"/>
      <c r="L45" s="231"/>
      <c r="M45" s="230"/>
      <c r="N45" s="231"/>
      <c r="O45" s="250"/>
      <c r="P45" s="250"/>
      <c r="Q45" s="2"/>
      <c r="S45" s="35"/>
    </row>
    <row r="46" spans="1:19" ht="15" customHeight="1" x14ac:dyDescent="0.25">
      <c r="A46" s="16">
        <v>671</v>
      </c>
      <c r="B46" s="279" t="s">
        <v>37</v>
      </c>
      <c r="C46" s="279"/>
      <c r="D46" s="279"/>
      <c r="E46" s="279"/>
      <c r="F46" s="280"/>
      <c r="G46" s="256">
        <f t="shared" ref="G46" si="32">G48+G50</f>
        <v>189977.24334726922</v>
      </c>
      <c r="H46" s="257"/>
      <c r="I46" s="256">
        <f t="shared" ref="I46:K46" si="33">I48+I50</f>
        <v>190788.68</v>
      </c>
      <c r="J46" s="257"/>
      <c r="K46" s="256">
        <f t="shared" si="33"/>
        <v>357387.79</v>
      </c>
      <c r="L46" s="257"/>
      <c r="M46" s="256">
        <f>M48+M50</f>
        <v>345363.58999999997</v>
      </c>
      <c r="N46" s="257"/>
      <c r="O46" s="217">
        <f t="shared" ref="O46" si="34">M46/G46*100</f>
        <v>181.7920841017216</v>
      </c>
      <c r="P46" s="217">
        <f t="shared" ref="P46" si="35">M46/K46*100</f>
        <v>96.635531392944344</v>
      </c>
      <c r="Q46" s="2"/>
    </row>
    <row r="47" spans="1:19" x14ac:dyDescent="0.25">
      <c r="A47" s="11"/>
      <c r="B47" s="279"/>
      <c r="C47" s="279"/>
      <c r="D47" s="279"/>
      <c r="E47" s="279"/>
      <c r="F47" s="280"/>
      <c r="G47" s="258"/>
      <c r="H47" s="259"/>
      <c r="I47" s="258"/>
      <c r="J47" s="259"/>
      <c r="K47" s="258"/>
      <c r="L47" s="259"/>
      <c r="M47" s="258"/>
      <c r="N47" s="259"/>
      <c r="O47" s="217"/>
      <c r="P47" s="217"/>
      <c r="Q47" s="2"/>
      <c r="S47" s="35"/>
    </row>
    <row r="48" spans="1:19" x14ac:dyDescent="0.25">
      <c r="A48" s="17">
        <v>6711</v>
      </c>
      <c r="B48" s="275" t="s">
        <v>38</v>
      </c>
      <c r="C48" s="275"/>
      <c r="D48" s="275"/>
      <c r="E48" s="275"/>
      <c r="F48" s="276"/>
      <c r="G48" s="224">
        <f>1269637.01/7.5345</f>
        <v>168509.78963434865</v>
      </c>
      <c r="H48" s="225"/>
      <c r="I48" s="224">
        <v>190788.68</v>
      </c>
      <c r="J48" s="225"/>
      <c r="K48" s="224">
        <f>179353.32+300.59+1060+3743.75+730.02+6885.75+3533.36+5620.12+947.13+1100+1575.04+81+73.63+867.78</f>
        <v>205871.49</v>
      </c>
      <c r="L48" s="225"/>
      <c r="M48" s="224">
        <v>199459.88</v>
      </c>
      <c r="N48" s="225"/>
      <c r="O48" s="217">
        <f t="shared" ref="O48" si="36">M48/G48*100</f>
        <v>118.36693905606927</v>
      </c>
      <c r="P48" s="217">
        <f t="shared" ref="P48" si="37">M48/K48*100</f>
        <v>96.885625105253766</v>
      </c>
      <c r="Q48" s="2"/>
    </row>
    <row r="49" spans="1:19" x14ac:dyDescent="0.25">
      <c r="A49" s="18"/>
      <c r="B49" s="275"/>
      <c r="C49" s="275"/>
      <c r="D49" s="275"/>
      <c r="E49" s="275"/>
      <c r="F49" s="276"/>
      <c r="G49" s="226"/>
      <c r="H49" s="227"/>
      <c r="I49" s="226"/>
      <c r="J49" s="227"/>
      <c r="K49" s="226"/>
      <c r="L49" s="227"/>
      <c r="M49" s="226"/>
      <c r="N49" s="227"/>
      <c r="O49" s="217"/>
      <c r="P49" s="217"/>
      <c r="Q49" s="2"/>
      <c r="S49" s="35"/>
    </row>
    <row r="50" spans="1:19" x14ac:dyDescent="0.25">
      <c r="A50" s="17">
        <v>6712</v>
      </c>
      <c r="B50" s="275" t="s">
        <v>43</v>
      </c>
      <c r="C50" s="275"/>
      <c r="D50" s="275"/>
      <c r="E50" s="275"/>
      <c r="F50" s="276"/>
      <c r="G50" s="224">
        <f>161746.53/7.5345</f>
        <v>21467.453712920564</v>
      </c>
      <c r="H50" s="225"/>
      <c r="I50" s="224"/>
      <c r="J50" s="225"/>
      <c r="K50" s="224">
        <v>151516.29999999999</v>
      </c>
      <c r="L50" s="225"/>
      <c r="M50" s="224">
        <v>145903.71</v>
      </c>
      <c r="N50" s="225"/>
      <c r="O50" s="217">
        <f t="shared" ref="O50" si="38">M50/G50*100</f>
        <v>679.65074922781957</v>
      </c>
      <c r="P50" s="217">
        <f t="shared" ref="P50" si="39">M50/K50*100</f>
        <v>96.295718678452431</v>
      </c>
      <c r="Q50" s="2"/>
    </row>
    <row r="51" spans="1:19" x14ac:dyDescent="0.25">
      <c r="A51" s="18"/>
      <c r="B51" s="275"/>
      <c r="C51" s="275"/>
      <c r="D51" s="275"/>
      <c r="E51" s="275"/>
      <c r="F51" s="276"/>
      <c r="G51" s="226"/>
      <c r="H51" s="227"/>
      <c r="I51" s="226"/>
      <c r="J51" s="227"/>
      <c r="K51" s="226"/>
      <c r="L51" s="227"/>
      <c r="M51" s="226"/>
      <c r="N51" s="227"/>
      <c r="O51" s="217"/>
      <c r="P51" s="217"/>
      <c r="Q51" s="2"/>
    </row>
    <row r="52" spans="1:19" x14ac:dyDescent="0.25">
      <c r="A52" s="19">
        <v>9</v>
      </c>
      <c r="B52" s="6" t="s">
        <v>39</v>
      </c>
      <c r="C52" s="6"/>
      <c r="D52" s="6"/>
      <c r="E52" s="6"/>
      <c r="F52" s="20"/>
      <c r="G52" s="262">
        <f t="shared" ref="G52" si="40">G53</f>
        <v>13743.052624593536</v>
      </c>
      <c r="H52" s="263"/>
      <c r="I52" s="262">
        <f>I53</f>
        <v>30664.7</v>
      </c>
      <c r="J52" s="263"/>
      <c r="K52" s="262">
        <f t="shared" ref="K52" si="41">K53</f>
        <v>30664.7</v>
      </c>
      <c r="L52" s="263"/>
      <c r="M52" s="262">
        <f t="shared" ref="M52" si="42">M53</f>
        <v>30664.7</v>
      </c>
      <c r="N52" s="263"/>
      <c r="O52" s="53">
        <f>M52/G52*100</f>
        <v>223.12873884456175</v>
      </c>
      <c r="P52" s="53">
        <f>M52/K52*100</f>
        <v>100</v>
      </c>
      <c r="Q52" s="2"/>
    </row>
    <row r="53" spans="1:19" x14ac:dyDescent="0.25">
      <c r="A53" s="21">
        <v>92</v>
      </c>
      <c r="B53" s="5" t="s">
        <v>44</v>
      </c>
      <c r="C53" s="5"/>
      <c r="D53" s="5"/>
      <c r="E53" s="5"/>
      <c r="F53" s="22"/>
      <c r="G53" s="264">
        <f>G54</f>
        <v>13743.052624593536</v>
      </c>
      <c r="H53" s="265"/>
      <c r="I53" s="264">
        <f>I54</f>
        <v>30664.7</v>
      </c>
      <c r="J53" s="265"/>
      <c r="K53" s="264">
        <f>K54</f>
        <v>30664.7</v>
      </c>
      <c r="L53" s="265"/>
      <c r="M53" s="264">
        <f>M54</f>
        <v>30664.7</v>
      </c>
      <c r="N53" s="265"/>
      <c r="O53" s="60">
        <f>M53/G53*100</f>
        <v>223.12873884456175</v>
      </c>
      <c r="P53" s="60">
        <f>M53/K53*100</f>
        <v>100</v>
      </c>
      <c r="Q53" s="2"/>
    </row>
    <row r="54" spans="1:19" x14ac:dyDescent="0.25">
      <c r="A54" s="12">
        <v>922</v>
      </c>
      <c r="B54" s="4" t="s">
        <v>46</v>
      </c>
      <c r="C54" s="4"/>
      <c r="D54" s="4"/>
      <c r="E54" s="4"/>
      <c r="F54" s="13"/>
      <c r="G54" s="232">
        <f>G55</f>
        <v>13743.052624593536</v>
      </c>
      <c r="H54" s="233"/>
      <c r="I54" s="232">
        <f>I55</f>
        <v>30664.7</v>
      </c>
      <c r="J54" s="233"/>
      <c r="K54" s="232">
        <f>K55</f>
        <v>30664.7</v>
      </c>
      <c r="L54" s="233"/>
      <c r="M54" s="232">
        <f>M55</f>
        <v>30664.7</v>
      </c>
      <c r="N54" s="233"/>
      <c r="O54" s="58">
        <f t="shared" ref="O54:O55" si="43">M54/G54*100</f>
        <v>223.12873884456175</v>
      </c>
      <c r="P54" s="58">
        <f t="shared" ref="P54:P55" si="44">M54/K54*100</f>
        <v>100</v>
      </c>
      <c r="Q54" s="2"/>
    </row>
    <row r="55" spans="1:19" ht="15.75" thickBot="1" x14ac:dyDescent="0.3">
      <c r="A55" s="17">
        <v>9221</v>
      </c>
      <c r="B55" s="8" t="s">
        <v>45</v>
      </c>
      <c r="C55" s="23"/>
      <c r="D55" s="23"/>
      <c r="E55" s="23"/>
      <c r="F55" s="24"/>
      <c r="G55" s="260">
        <f>103547.03/7.5345</f>
        <v>13743.052624593536</v>
      </c>
      <c r="H55" s="261"/>
      <c r="I55" s="224">
        <v>30664.7</v>
      </c>
      <c r="J55" s="225"/>
      <c r="K55" s="224">
        <f>5060.29+300+1000+2000+1077.46+1266.77+3070.57+1300+859.82+9729.79+5000</f>
        <v>30664.7</v>
      </c>
      <c r="L55" s="225"/>
      <c r="M55" s="260">
        <v>30664.7</v>
      </c>
      <c r="N55" s="261"/>
      <c r="O55" s="65">
        <f t="shared" si="43"/>
        <v>223.12873884456175</v>
      </c>
      <c r="P55" s="65">
        <f t="shared" si="44"/>
        <v>100</v>
      </c>
      <c r="Q55" s="2"/>
    </row>
    <row r="56" spans="1:19" ht="15.75" thickBot="1" x14ac:dyDescent="0.3">
      <c r="A56" s="253" t="s">
        <v>195</v>
      </c>
      <c r="B56" s="253"/>
      <c r="C56" s="253"/>
      <c r="D56" s="253"/>
      <c r="E56" s="253"/>
      <c r="F56" s="253"/>
      <c r="G56" s="241">
        <f>G52+G12</f>
        <v>1711064.6784789965</v>
      </c>
      <c r="H56" s="241"/>
      <c r="I56" s="241">
        <f>I52+I12</f>
        <v>1766914.7799999998</v>
      </c>
      <c r="J56" s="241"/>
      <c r="K56" s="241">
        <f>K52+K12</f>
        <v>1952297.93</v>
      </c>
      <c r="L56" s="241"/>
      <c r="M56" s="241">
        <f>M52+M12</f>
        <v>2043382.9199999997</v>
      </c>
      <c r="N56" s="241"/>
      <c r="O56" s="66">
        <f>M56/G56*100</f>
        <v>119.42172296002325</v>
      </c>
      <c r="P56" s="66">
        <f>M56/K56*100</f>
        <v>104.66552715138103</v>
      </c>
    </row>
    <row r="57" spans="1:19" ht="15.75" thickBot="1" x14ac:dyDescent="0.3">
      <c r="G57" s="35"/>
      <c r="H57" s="35"/>
      <c r="I57" s="35"/>
      <c r="J57" s="35"/>
      <c r="K57" s="35"/>
      <c r="L57" s="35"/>
      <c r="M57" s="35"/>
      <c r="N57" s="35"/>
      <c r="O57" s="49"/>
      <c r="P57" s="35"/>
    </row>
    <row r="58" spans="1:19" x14ac:dyDescent="0.25">
      <c r="A58" s="9">
        <v>3</v>
      </c>
      <c r="B58" s="246" t="s">
        <v>50</v>
      </c>
      <c r="C58" s="246"/>
      <c r="D58" s="246"/>
      <c r="E58" s="246"/>
      <c r="F58" s="247"/>
      <c r="G58" s="248">
        <f>G59+G67+G99+G102+G106</f>
        <v>1645393.2229199016</v>
      </c>
      <c r="H58" s="249"/>
      <c r="I58" s="248">
        <f>I59+I67+I99+I102+I106</f>
        <v>1762114.7799999998</v>
      </c>
      <c r="J58" s="249"/>
      <c r="K58" s="248">
        <f>K59+K67+K99+K102+K106</f>
        <v>1795981.6299999997</v>
      </c>
      <c r="L58" s="249"/>
      <c r="M58" s="248">
        <f>M59+M67+M99+M102+M106</f>
        <v>1878054.0799999998</v>
      </c>
      <c r="N58" s="249"/>
      <c r="O58" s="57">
        <f>(M58/G58)*100</f>
        <v>114.14013707113855</v>
      </c>
      <c r="P58" s="57">
        <f>M58/K58*100</f>
        <v>104.56978226442106</v>
      </c>
      <c r="Q58" s="2"/>
    </row>
    <row r="59" spans="1:19" ht="15" customHeight="1" x14ac:dyDescent="0.25">
      <c r="A59" s="21">
        <v>31</v>
      </c>
      <c r="B59" s="5" t="s">
        <v>52</v>
      </c>
      <c r="C59" s="5"/>
      <c r="D59" s="5"/>
      <c r="E59" s="5"/>
      <c r="F59" s="22"/>
      <c r="G59" s="200">
        <f t="shared" ref="G59" si="45">G60+G62+G64</f>
        <v>1452577.1982215142</v>
      </c>
      <c r="H59" s="201"/>
      <c r="I59" s="200">
        <f t="shared" ref="I59" si="46">I60+I62+I64</f>
        <v>1511207.68</v>
      </c>
      <c r="J59" s="201"/>
      <c r="K59" s="200">
        <f>K60+K62+K64</f>
        <v>1541680.5399999998</v>
      </c>
      <c r="L59" s="201"/>
      <c r="M59" s="200">
        <f t="shared" ref="M59" si="47">M60+M62+M64</f>
        <v>1625682.3599999999</v>
      </c>
      <c r="N59" s="201"/>
      <c r="O59" s="50">
        <f>M59/G59*100</f>
        <v>111.91710581650528</v>
      </c>
      <c r="P59" s="50">
        <f>M59/K59*100</f>
        <v>105.44871767013417</v>
      </c>
      <c r="Q59" s="2"/>
    </row>
    <row r="60" spans="1:19" x14ac:dyDescent="0.25">
      <c r="A60" s="12">
        <v>311</v>
      </c>
      <c r="B60" s="4" t="s">
        <v>53</v>
      </c>
      <c r="C60" s="4"/>
      <c r="D60" s="4"/>
      <c r="E60" s="4"/>
      <c r="F60" s="13"/>
      <c r="G60" s="202">
        <f t="shared" ref="G60" si="48">G61</f>
        <v>1211927.4218594464</v>
      </c>
      <c r="H60" s="203"/>
      <c r="I60" s="202">
        <f t="shared" ref="I60:K60" si="49">I61</f>
        <v>1256207.68</v>
      </c>
      <c r="J60" s="203"/>
      <c r="K60" s="202">
        <f t="shared" si="49"/>
        <v>1281028.8499999999</v>
      </c>
      <c r="L60" s="203"/>
      <c r="M60" s="202">
        <f t="shared" ref="M60" si="50">M61</f>
        <v>1341771.5900000001</v>
      </c>
      <c r="N60" s="203"/>
      <c r="O60" s="51">
        <f>M60/G60*100</f>
        <v>110.71385677050985</v>
      </c>
      <c r="P60" s="61">
        <f t="shared" ref="P60:P66" si="51">M60/K60*100</f>
        <v>104.74171522366575</v>
      </c>
      <c r="Q60" s="2"/>
    </row>
    <row r="61" spans="1:19" x14ac:dyDescent="0.25">
      <c r="A61" s="14">
        <v>3111</v>
      </c>
      <c r="B61" s="7" t="s">
        <v>54</v>
      </c>
      <c r="C61" s="7"/>
      <c r="D61" s="4"/>
      <c r="E61" s="4"/>
      <c r="F61" s="13"/>
      <c r="G61" s="196">
        <f>9131267.16/7.5345</f>
        <v>1211927.4218594464</v>
      </c>
      <c r="H61" s="206"/>
      <c r="I61" s="196">
        <f>1240000+5060.29+11147.39</f>
        <v>1256207.68</v>
      </c>
      <c r="J61" s="206"/>
      <c r="K61" s="196">
        <f>1240000+16207.68+4371.78+20449.39</f>
        <v>1281028.8499999999</v>
      </c>
      <c r="L61" s="206"/>
      <c r="M61" s="196">
        <v>1341771.5900000001</v>
      </c>
      <c r="N61" s="206"/>
      <c r="O61" s="51">
        <f t="shared" ref="O61:O90" si="52">M61/G61*100</f>
        <v>110.71385677050985</v>
      </c>
      <c r="P61" s="61">
        <f t="shared" si="51"/>
        <v>104.74171522366575</v>
      </c>
      <c r="Q61" s="2"/>
    </row>
    <row r="62" spans="1:19" x14ac:dyDescent="0.25">
      <c r="A62" s="12">
        <v>312</v>
      </c>
      <c r="B62" s="4" t="s">
        <v>55</v>
      </c>
      <c r="C62" s="4"/>
      <c r="D62" s="4"/>
      <c r="E62" s="4"/>
      <c r="F62" s="13"/>
      <c r="G62" s="202">
        <f t="shared" ref="G62" si="53">G63</f>
        <v>47545.665936691221</v>
      </c>
      <c r="H62" s="203"/>
      <c r="I62" s="202">
        <f t="shared" ref="I62:K62" si="54">I63</f>
        <v>50000</v>
      </c>
      <c r="J62" s="203"/>
      <c r="K62" s="202">
        <f t="shared" si="54"/>
        <v>52500</v>
      </c>
      <c r="L62" s="203"/>
      <c r="M62" s="202">
        <f t="shared" ref="M62" si="55">M63</f>
        <v>62361.88</v>
      </c>
      <c r="N62" s="203"/>
      <c r="O62" s="51">
        <f t="shared" si="52"/>
        <v>131.16207076169067</v>
      </c>
      <c r="P62" s="61">
        <f t="shared" si="51"/>
        <v>118.78453333333331</v>
      </c>
      <c r="Q62" s="2"/>
    </row>
    <row r="63" spans="1:19" x14ac:dyDescent="0.25">
      <c r="A63" s="14">
        <v>3121</v>
      </c>
      <c r="B63" s="7" t="s">
        <v>55</v>
      </c>
      <c r="C63" s="7"/>
      <c r="D63" s="7"/>
      <c r="E63" s="4"/>
      <c r="F63" s="13"/>
      <c r="G63" s="196">
        <f>358232.82/7.5345</f>
        <v>47545.665936691221</v>
      </c>
      <c r="H63" s="206"/>
      <c r="I63" s="196">
        <v>50000</v>
      </c>
      <c r="J63" s="206"/>
      <c r="K63" s="196">
        <f>50000+1400+1100</f>
        <v>52500</v>
      </c>
      <c r="L63" s="206"/>
      <c r="M63" s="196">
        <v>62361.88</v>
      </c>
      <c r="N63" s="206"/>
      <c r="O63" s="51">
        <f t="shared" si="52"/>
        <v>131.16207076169067</v>
      </c>
      <c r="P63" s="61">
        <f t="shared" si="51"/>
        <v>118.78453333333331</v>
      </c>
      <c r="Q63" s="2"/>
    </row>
    <row r="64" spans="1:19" x14ac:dyDescent="0.25">
      <c r="A64" s="12">
        <v>313</v>
      </c>
      <c r="B64" s="4" t="s">
        <v>56</v>
      </c>
      <c r="C64" s="4"/>
      <c r="D64" s="4"/>
      <c r="E64" s="4"/>
      <c r="F64" s="13"/>
      <c r="G64" s="202">
        <f t="shared" ref="G64" si="56">G65+G66</f>
        <v>193104.11042537657</v>
      </c>
      <c r="H64" s="203"/>
      <c r="I64" s="202">
        <f t="shared" ref="I64" si="57">I65+I66</f>
        <v>205000</v>
      </c>
      <c r="J64" s="203"/>
      <c r="K64" s="202">
        <f>K65+K66</f>
        <v>208151.69</v>
      </c>
      <c r="L64" s="203"/>
      <c r="M64" s="202">
        <f>M65+M66</f>
        <v>221548.88999999998</v>
      </c>
      <c r="N64" s="203"/>
      <c r="O64" s="51">
        <f t="shared" si="52"/>
        <v>114.73028176974806</v>
      </c>
      <c r="P64" s="61">
        <f t="shared" si="51"/>
        <v>106.43626770457639</v>
      </c>
      <c r="Q64" s="2"/>
    </row>
    <row r="65" spans="1:17" x14ac:dyDescent="0.25">
      <c r="A65" s="14">
        <v>3132</v>
      </c>
      <c r="B65" s="7" t="s">
        <v>57</v>
      </c>
      <c r="C65" s="7"/>
      <c r="D65" s="7"/>
      <c r="E65" s="7"/>
      <c r="F65" s="15"/>
      <c r="G65" s="196">
        <f>1454942.92/7.5345</f>
        <v>193104.11042537657</v>
      </c>
      <c r="H65" s="197"/>
      <c r="I65" s="196">
        <v>205000</v>
      </c>
      <c r="J65" s="197"/>
      <c r="K65" s="196">
        <f>205000+722.78+2428.91</f>
        <v>208151.69</v>
      </c>
      <c r="L65" s="197"/>
      <c r="M65" s="196">
        <v>221376.15</v>
      </c>
      <c r="N65" s="206"/>
      <c r="O65" s="51">
        <f t="shared" si="52"/>
        <v>114.64082743362883</v>
      </c>
      <c r="P65" s="61">
        <f t="shared" si="51"/>
        <v>106.35328014872229</v>
      </c>
      <c r="Q65" s="2"/>
    </row>
    <row r="66" spans="1:17" x14ac:dyDescent="0.25">
      <c r="A66" s="14">
        <v>3133</v>
      </c>
      <c r="B66" s="7" t="s">
        <v>196</v>
      </c>
      <c r="C66" s="7"/>
      <c r="D66" s="7"/>
      <c r="E66" s="7"/>
      <c r="F66" s="15"/>
      <c r="G66" s="196"/>
      <c r="H66" s="197"/>
      <c r="I66" s="196"/>
      <c r="J66" s="197"/>
      <c r="K66" s="196"/>
      <c r="L66" s="197"/>
      <c r="M66" s="196">
        <v>172.74</v>
      </c>
      <c r="N66" s="197"/>
      <c r="O66" s="51" t="e">
        <f t="shared" ref="O66" si="58">M66/G66*100</f>
        <v>#DIV/0!</v>
      </c>
      <c r="P66" s="61" t="e">
        <f t="shared" si="51"/>
        <v>#DIV/0!</v>
      </c>
      <c r="Q66" s="2"/>
    </row>
    <row r="67" spans="1:17" x14ac:dyDescent="0.25">
      <c r="A67" s="21">
        <v>32</v>
      </c>
      <c r="B67" s="5" t="s">
        <v>58</v>
      </c>
      <c r="C67" s="5"/>
      <c r="D67" s="5"/>
      <c r="E67" s="5"/>
      <c r="F67" s="22"/>
      <c r="G67" s="200">
        <f t="shared" ref="G67" si="59">G68+G73+G80+G90</f>
        <v>191497.4315601566</v>
      </c>
      <c r="H67" s="201"/>
      <c r="I67" s="200">
        <f t="shared" ref="I67:K67" si="60">I68+I73+I80+I90</f>
        <v>250907.09999999998</v>
      </c>
      <c r="J67" s="201"/>
      <c r="K67" s="200">
        <f t="shared" si="60"/>
        <v>252873.88999999998</v>
      </c>
      <c r="L67" s="201"/>
      <c r="M67" s="200">
        <f t="shared" ref="M67" si="61">M68+M73+M80+M90</f>
        <v>246546.27</v>
      </c>
      <c r="N67" s="201"/>
      <c r="O67" s="50">
        <f>M67/G67*100</f>
        <v>128.74651528814394</v>
      </c>
      <c r="P67" s="50">
        <f>M67/K67*100</f>
        <v>97.497717142722806</v>
      </c>
      <c r="Q67" s="2"/>
    </row>
    <row r="68" spans="1:17" x14ac:dyDescent="0.25">
      <c r="A68" s="12">
        <v>321</v>
      </c>
      <c r="B68" s="4" t="s">
        <v>59</v>
      </c>
      <c r="C68" s="4"/>
      <c r="D68" s="4"/>
      <c r="E68" s="4"/>
      <c r="F68" s="13"/>
      <c r="G68" s="202">
        <f t="shared" ref="G68" si="62">G69+G70+G71+G72</f>
        <v>56761.008693343952</v>
      </c>
      <c r="H68" s="203"/>
      <c r="I68" s="202">
        <f t="shared" ref="I68" si="63">I69+I70+I71+I72</f>
        <v>64979.61</v>
      </c>
      <c r="J68" s="203"/>
      <c r="K68" s="202">
        <f t="shared" ref="K68:M68" si="64">K69+K70+K71+K72</f>
        <v>72414.84</v>
      </c>
      <c r="L68" s="203"/>
      <c r="M68" s="202">
        <f t="shared" si="64"/>
        <v>72714.37</v>
      </c>
      <c r="N68" s="203"/>
      <c r="O68" s="51">
        <f>M68/G68*100</f>
        <v>128.10619767672804</v>
      </c>
      <c r="P68" s="51">
        <f t="shared" ref="P68:P90" si="65">M68/K68*100</f>
        <v>100.41363068674873</v>
      </c>
      <c r="Q68" s="2"/>
    </row>
    <row r="69" spans="1:17" x14ac:dyDescent="0.25">
      <c r="A69" s="14">
        <v>3211</v>
      </c>
      <c r="B69" s="7" t="s">
        <v>60</v>
      </c>
      <c r="C69" s="7"/>
      <c r="D69" s="7"/>
      <c r="E69" s="7"/>
      <c r="F69" s="15"/>
      <c r="G69" s="196">
        <f>108295.52/7.5345</f>
        <v>14373.285553122303</v>
      </c>
      <c r="H69" s="206"/>
      <c r="I69" s="196">
        <f>12000+300+849.82+9729.79</f>
        <v>22879.61</v>
      </c>
      <c r="J69" s="206"/>
      <c r="K69" s="196">
        <f>12566.42+265+300+849.82+13729.79</f>
        <v>27711.03</v>
      </c>
      <c r="L69" s="206"/>
      <c r="M69" s="196">
        <v>28353.03</v>
      </c>
      <c r="N69" s="206"/>
      <c r="O69" s="51">
        <f>M69/G69*100</f>
        <v>197.261996188762</v>
      </c>
      <c r="P69" s="51">
        <f t="shared" si="65"/>
        <v>102.31676700577353</v>
      </c>
      <c r="Q69" s="2"/>
    </row>
    <row r="70" spans="1:17" x14ac:dyDescent="0.25">
      <c r="A70" s="14">
        <v>3212</v>
      </c>
      <c r="B70" s="7" t="s">
        <v>61</v>
      </c>
      <c r="C70" s="7"/>
      <c r="D70" s="7"/>
      <c r="E70" s="7"/>
      <c r="F70" s="15"/>
      <c r="G70" s="196">
        <f>256963.26/7.5345</f>
        <v>34104.885526577738</v>
      </c>
      <c r="H70" s="206"/>
      <c r="I70" s="196">
        <v>34300</v>
      </c>
      <c r="J70" s="206"/>
      <c r="K70" s="196">
        <f>34871.7+391.19+867.78</f>
        <v>36130.67</v>
      </c>
      <c r="L70" s="206"/>
      <c r="M70" s="196">
        <v>36130.67</v>
      </c>
      <c r="N70" s="206"/>
      <c r="O70" s="51">
        <f t="shared" si="52"/>
        <v>105.93986592285607</v>
      </c>
      <c r="P70" s="51">
        <f t="shared" si="65"/>
        <v>100</v>
      </c>
      <c r="Q70" s="2"/>
    </row>
    <row r="71" spans="1:17" x14ac:dyDescent="0.25">
      <c r="A71" s="14">
        <v>3213</v>
      </c>
      <c r="B71" s="7" t="s">
        <v>62</v>
      </c>
      <c r="C71" s="7"/>
      <c r="D71" s="7"/>
      <c r="E71" s="7"/>
      <c r="F71" s="15"/>
      <c r="G71" s="196">
        <f>56243.04/7.5345</f>
        <v>7464.7342225761495</v>
      </c>
      <c r="H71" s="206"/>
      <c r="I71" s="196">
        <f>1300+5000</f>
        <v>6300</v>
      </c>
      <c r="J71" s="206"/>
      <c r="K71" s="196">
        <f>710.34+6080</f>
        <v>6790.34</v>
      </c>
      <c r="L71" s="206"/>
      <c r="M71" s="196">
        <v>6447.87</v>
      </c>
      <c r="N71" s="206"/>
      <c r="O71" s="51">
        <f t="shared" si="52"/>
        <v>86.377757167820235</v>
      </c>
      <c r="P71" s="51">
        <f t="shared" si="65"/>
        <v>94.956511750516171</v>
      </c>
      <c r="Q71" s="2"/>
    </row>
    <row r="72" spans="1:17" x14ac:dyDescent="0.25">
      <c r="A72" s="14">
        <v>3214</v>
      </c>
      <c r="B72" s="7" t="s">
        <v>95</v>
      </c>
      <c r="C72" s="7"/>
      <c r="D72" s="7"/>
      <c r="E72" s="7"/>
      <c r="F72" s="15"/>
      <c r="G72" s="196">
        <f>6164/7.5345</f>
        <v>818.10339106775496</v>
      </c>
      <c r="H72" s="206"/>
      <c r="I72" s="196">
        <v>1500</v>
      </c>
      <c r="J72" s="206"/>
      <c r="K72" s="196">
        <f>1782.8</f>
        <v>1782.8</v>
      </c>
      <c r="L72" s="206"/>
      <c r="M72" s="196">
        <v>1782.8</v>
      </c>
      <c r="N72" s="206"/>
      <c r="O72" s="51">
        <f t="shared" si="52"/>
        <v>217.91866645035691</v>
      </c>
      <c r="P72" s="51">
        <f t="shared" si="65"/>
        <v>100</v>
      </c>
      <c r="Q72" s="2"/>
    </row>
    <row r="73" spans="1:17" x14ac:dyDescent="0.25">
      <c r="A73" s="12">
        <v>322</v>
      </c>
      <c r="B73" s="4" t="s">
        <v>63</v>
      </c>
      <c r="C73" s="4"/>
      <c r="D73" s="4"/>
      <c r="E73" s="4"/>
      <c r="F73" s="13"/>
      <c r="G73" s="202">
        <f t="shared" ref="G73" si="66">G74+G75+G76+G77+G78+G79</f>
        <v>77452.121574092511</v>
      </c>
      <c r="H73" s="203"/>
      <c r="I73" s="202">
        <f t="shared" ref="I73:K73" si="67">I74+I75+I76+I77+I78+I79</f>
        <v>103930.26</v>
      </c>
      <c r="J73" s="203"/>
      <c r="K73" s="202">
        <f t="shared" si="67"/>
        <v>98034.359999999986</v>
      </c>
      <c r="L73" s="203"/>
      <c r="M73" s="202">
        <f t="shared" ref="M73" si="68">M74+M75+M76+M77+M78+M79</f>
        <v>94934.359999999986</v>
      </c>
      <c r="N73" s="203"/>
      <c r="O73" s="51">
        <f t="shared" si="52"/>
        <v>122.57167146697661</v>
      </c>
      <c r="P73" s="51">
        <f t="shared" si="65"/>
        <v>96.837843384707156</v>
      </c>
      <c r="Q73" s="2"/>
    </row>
    <row r="74" spans="1:17" x14ac:dyDescent="0.25">
      <c r="A74" s="14">
        <v>3221</v>
      </c>
      <c r="B74" s="7" t="s">
        <v>64</v>
      </c>
      <c r="C74" s="7"/>
      <c r="D74" s="7"/>
      <c r="E74" s="7"/>
      <c r="F74" s="15"/>
      <c r="G74" s="196">
        <f>94950.93/7.5345</f>
        <v>12602.154091180568</v>
      </c>
      <c r="H74" s="206"/>
      <c r="I74" s="196">
        <f>14000+600</f>
        <v>14600</v>
      </c>
      <c r="J74" s="206"/>
      <c r="K74" s="196">
        <f>20297.34+265+1828.82</f>
        <v>22391.16</v>
      </c>
      <c r="L74" s="206"/>
      <c r="M74" s="196">
        <v>21791.16</v>
      </c>
      <c r="N74" s="206"/>
      <c r="O74" s="51">
        <f t="shared" si="52"/>
        <v>172.91615260640418</v>
      </c>
      <c r="P74" s="51">
        <f t="shared" si="65"/>
        <v>97.32037107501354</v>
      </c>
      <c r="Q74" s="2"/>
    </row>
    <row r="75" spans="1:17" x14ac:dyDescent="0.25">
      <c r="A75" s="14">
        <v>3222</v>
      </c>
      <c r="B75" s="7" t="s">
        <v>96</v>
      </c>
      <c r="C75" s="7"/>
      <c r="D75" s="7"/>
      <c r="E75" s="7"/>
      <c r="F75" s="15"/>
      <c r="G75" s="196">
        <f>155918.44/7.5345</f>
        <v>20693.933240427366</v>
      </c>
      <c r="H75" s="206"/>
      <c r="I75" s="196">
        <f>20000+1500</f>
        <v>21500</v>
      </c>
      <c r="J75" s="206"/>
      <c r="K75" s="196">
        <f>19872.77+1500</f>
        <v>21372.77</v>
      </c>
      <c r="L75" s="206"/>
      <c r="M75" s="196">
        <v>19872.77</v>
      </c>
      <c r="N75" s="206"/>
      <c r="O75" s="51">
        <f t="shared" si="52"/>
        <v>96.031864842285501</v>
      </c>
      <c r="P75" s="51">
        <f t="shared" si="65"/>
        <v>92.981723941257968</v>
      </c>
      <c r="Q75" s="2"/>
    </row>
    <row r="76" spans="1:17" x14ac:dyDescent="0.25">
      <c r="A76" s="14">
        <v>3223</v>
      </c>
      <c r="B76" s="7" t="s">
        <v>65</v>
      </c>
      <c r="C76" s="7"/>
      <c r="D76" s="7"/>
      <c r="E76" s="7"/>
      <c r="F76" s="15"/>
      <c r="G76" s="196">
        <f>271266.23/7.5345</f>
        <v>36003.215873647881</v>
      </c>
      <c r="H76" s="206"/>
      <c r="I76" s="196">
        <v>60000</v>
      </c>
      <c r="J76" s="206"/>
      <c r="K76" s="196">
        <v>42847.5</v>
      </c>
      <c r="L76" s="206"/>
      <c r="M76" s="196">
        <v>42847.5</v>
      </c>
      <c r="N76" s="206"/>
      <c r="O76" s="51">
        <f t="shared" si="52"/>
        <v>119.01020217297231</v>
      </c>
      <c r="P76" s="51">
        <f t="shared" si="65"/>
        <v>100</v>
      </c>
      <c r="Q76" s="2"/>
    </row>
    <row r="77" spans="1:17" x14ac:dyDescent="0.25">
      <c r="A77" s="14">
        <v>3224</v>
      </c>
      <c r="B77" s="7" t="s">
        <v>66</v>
      </c>
      <c r="C77" s="7"/>
      <c r="D77" s="7"/>
      <c r="E77" s="7"/>
      <c r="F77" s="15"/>
      <c r="G77" s="196">
        <f>39102.82/7.5345</f>
        <v>5189.8360873316078</v>
      </c>
      <c r="H77" s="206"/>
      <c r="I77" s="196">
        <f>6000+1000</f>
        <v>7000</v>
      </c>
      <c r="J77" s="206"/>
      <c r="K77" s="196">
        <f>7585.17+1000</f>
        <v>8585.17</v>
      </c>
      <c r="L77" s="206"/>
      <c r="M77" s="196">
        <v>7585.17</v>
      </c>
      <c r="N77" s="206"/>
      <c r="O77" s="51">
        <f t="shared" si="52"/>
        <v>146.15432688742143</v>
      </c>
      <c r="P77" s="51">
        <f t="shared" si="65"/>
        <v>88.35200700743259</v>
      </c>
      <c r="Q77" s="2"/>
    </row>
    <row r="78" spans="1:17" x14ac:dyDescent="0.25">
      <c r="A78" s="14">
        <v>3225</v>
      </c>
      <c r="B78" s="7" t="s">
        <v>67</v>
      </c>
      <c r="C78" s="7"/>
      <c r="D78" s="7"/>
      <c r="E78" s="7"/>
      <c r="F78" s="15"/>
      <c r="G78" s="196">
        <f>18365.75/7.5345</f>
        <v>2437.5539186409183</v>
      </c>
      <c r="H78" s="206"/>
      <c r="I78" s="196">
        <v>300</v>
      </c>
      <c r="J78" s="206"/>
      <c r="K78" s="196">
        <v>2307.5</v>
      </c>
      <c r="L78" s="206"/>
      <c r="M78" s="196">
        <v>2307.5</v>
      </c>
      <c r="N78" s="206"/>
      <c r="O78" s="51">
        <f t="shared" si="52"/>
        <v>94.66457264201027</v>
      </c>
      <c r="P78" s="51">
        <f t="shared" si="65"/>
        <v>100</v>
      </c>
      <c r="Q78" s="2"/>
    </row>
    <row r="79" spans="1:17" x14ac:dyDescent="0.25">
      <c r="A79" s="14">
        <v>3227</v>
      </c>
      <c r="B79" s="7" t="s">
        <v>68</v>
      </c>
      <c r="C79" s="7"/>
      <c r="D79" s="7"/>
      <c r="E79" s="7"/>
      <c r="F79" s="15"/>
      <c r="G79" s="196">
        <f>3958.84/7.5345</f>
        <v>525.4283628641582</v>
      </c>
      <c r="H79" s="206"/>
      <c r="I79" s="196">
        <v>530.26</v>
      </c>
      <c r="J79" s="206"/>
      <c r="K79" s="196">
        <v>530.26</v>
      </c>
      <c r="L79" s="206"/>
      <c r="M79" s="196">
        <v>530.26</v>
      </c>
      <c r="N79" s="206"/>
      <c r="O79" s="51">
        <f t="shared" si="52"/>
        <v>100.91956153822836</v>
      </c>
      <c r="P79" s="51">
        <f t="shared" si="65"/>
        <v>100</v>
      </c>
      <c r="Q79" s="2"/>
    </row>
    <row r="80" spans="1:17" x14ac:dyDescent="0.25">
      <c r="A80" s="12">
        <v>323</v>
      </c>
      <c r="B80" s="4" t="s">
        <v>69</v>
      </c>
      <c r="C80" s="4"/>
      <c r="D80" s="4"/>
      <c r="E80" s="4"/>
      <c r="F80" s="13"/>
      <c r="G80" s="202">
        <f t="shared" ref="G80" si="69">G81+G82+G83+G84+G85+G86+G87+G88+G89</f>
        <v>36886.782135509988</v>
      </c>
      <c r="H80" s="203"/>
      <c r="I80" s="202">
        <f t="shared" ref="I80:K80" si="70">I81+I82+I83+I84+I85+I86+I87+I88+I89</f>
        <v>62404.9</v>
      </c>
      <c r="J80" s="203"/>
      <c r="K80" s="202">
        <f t="shared" si="70"/>
        <v>59886.350000000006</v>
      </c>
      <c r="L80" s="203"/>
      <c r="M80" s="202">
        <f t="shared" ref="M80" si="71">M81+M82+M83+M84+M85+M86+M87+M88+M89</f>
        <v>63159.610000000008</v>
      </c>
      <c r="N80" s="203"/>
      <c r="O80" s="51">
        <f t="shared" si="52"/>
        <v>171.22558906865945</v>
      </c>
      <c r="P80" s="51">
        <f t="shared" si="65"/>
        <v>105.46578644382234</v>
      </c>
      <c r="Q80" s="2"/>
    </row>
    <row r="81" spans="1:17" x14ac:dyDescent="0.25">
      <c r="A81" s="14">
        <v>3231</v>
      </c>
      <c r="B81" s="7" t="s">
        <v>70</v>
      </c>
      <c r="C81" s="7"/>
      <c r="D81" s="7"/>
      <c r="E81" s="7"/>
      <c r="F81" s="15"/>
      <c r="G81" s="196">
        <f>65617.6/7.5345</f>
        <v>8708.9521534275664</v>
      </c>
      <c r="H81" s="206"/>
      <c r="I81" s="196">
        <f>5500+2000+25000</f>
        <v>32500</v>
      </c>
      <c r="J81" s="206"/>
      <c r="K81" s="196">
        <f>5512.8+27000</f>
        <v>32512.799999999999</v>
      </c>
      <c r="L81" s="206"/>
      <c r="M81" s="196">
        <v>35957.24</v>
      </c>
      <c r="N81" s="206"/>
      <c r="O81" s="51">
        <f t="shared" si="52"/>
        <v>412.87676595913291</v>
      </c>
      <c r="P81" s="51">
        <f t="shared" si="65"/>
        <v>110.59410447577569</v>
      </c>
      <c r="Q81" s="2"/>
    </row>
    <row r="82" spans="1:17" x14ac:dyDescent="0.25">
      <c r="A82" s="14">
        <v>3232</v>
      </c>
      <c r="B82" s="7" t="s">
        <v>71</v>
      </c>
      <c r="C82" s="7"/>
      <c r="D82" s="7"/>
      <c r="E82" s="7"/>
      <c r="F82" s="15"/>
      <c r="G82" s="196">
        <f>45876.62/7.5345</f>
        <v>6088.8738469706022</v>
      </c>
      <c r="H82" s="206"/>
      <c r="I82" s="196">
        <v>5400</v>
      </c>
      <c r="J82" s="206"/>
      <c r="K82" s="196">
        <v>1959.05</v>
      </c>
      <c r="L82" s="206"/>
      <c r="M82" s="196">
        <v>1959.05</v>
      </c>
      <c r="N82" s="206"/>
      <c r="O82" s="51">
        <f t="shared" si="52"/>
        <v>32.174258315019713</v>
      </c>
      <c r="P82" s="51">
        <f t="shared" si="65"/>
        <v>100</v>
      </c>
      <c r="Q82" s="2"/>
    </row>
    <row r="83" spans="1:17" x14ac:dyDescent="0.25">
      <c r="A83" s="14">
        <v>3233</v>
      </c>
      <c r="B83" s="7" t="s">
        <v>98</v>
      </c>
      <c r="C83" s="7"/>
      <c r="D83" s="7"/>
      <c r="E83" s="7"/>
      <c r="F83" s="15"/>
      <c r="G83" s="196">
        <f>24617.64/7.5345</f>
        <v>3267.3223173402348</v>
      </c>
      <c r="H83" s="206"/>
      <c r="I83" s="196">
        <v>127.44</v>
      </c>
      <c r="J83" s="206"/>
      <c r="K83" s="196">
        <v>127.44</v>
      </c>
      <c r="L83" s="206"/>
      <c r="M83" s="196">
        <v>127.44</v>
      </c>
      <c r="N83" s="206"/>
      <c r="O83" s="51">
        <f t="shared" si="52"/>
        <v>3.9004416345352357</v>
      </c>
      <c r="P83" s="51">
        <f t="shared" si="65"/>
        <v>100</v>
      </c>
      <c r="Q83" s="2"/>
    </row>
    <row r="84" spans="1:17" x14ac:dyDescent="0.25">
      <c r="A84" s="14">
        <v>3234</v>
      </c>
      <c r="B84" s="7" t="s">
        <v>97</v>
      </c>
      <c r="C84" s="7"/>
      <c r="D84" s="7"/>
      <c r="E84" s="7"/>
      <c r="F84" s="15"/>
      <c r="G84" s="196">
        <f>45572.48/7.5345</f>
        <v>6048.5075320193773</v>
      </c>
      <c r="H84" s="206"/>
      <c r="I84" s="196">
        <v>7500</v>
      </c>
      <c r="J84" s="206"/>
      <c r="K84" s="196">
        <v>7375.66</v>
      </c>
      <c r="L84" s="206"/>
      <c r="M84" s="196">
        <v>7375.66</v>
      </c>
      <c r="N84" s="206"/>
      <c r="O84" s="51">
        <f t="shared" si="52"/>
        <v>121.94181723268078</v>
      </c>
      <c r="P84" s="51">
        <f t="shared" si="65"/>
        <v>100</v>
      </c>
      <c r="Q84" s="2"/>
    </row>
    <row r="85" spans="1:17" x14ac:dyDescent="0.25">
      <c r="A85" s="14">
        <v>3235</v>
      </c>
      <c r="B85" s="7" t="s">
        <v>72</v>
      </c>
      <c r="C85" s="7"/>
      <c r="D85" s="7"/>
      <c r="E85" s="7"/>
      <c r="F85" s="15"/>
      <c r="G85" s="196">
        <f>10262.28/7.5345</f>
        <v>1362.0386223372486</v>
      </c>
      <c r="H85" s="206"/>
      <c r="I85" s="196">
        <v>1800</v>
      </c>
      <c r="J85" s="206"/>
      <c r="K85" s="196">
        <v>1807.64</v>
      </c>
      <c r="L85" s="206"/>
      <c r="M85" s="196">
        <v>1807.64</v>
      </c>
      <c r="N85" s="206"/>
      <c r="O85" s="51">
        <f t="shared" si="52"/>
        <v>132.71576667173377</v>
      </c>
      <c r="P85" s="51">
        <f t="shared" si="65"/>
        <v>100</v>
      </c>
      <c r="Q85" s="2"/>
    </row>
    <row r="86" spans="1:17" x14ac:dyDescent="0.25">
      <c r="A86" s="14">
        <v>3236</v>
      </c>
      <c r="B86" s="7" t="s">
        <v>73</v>
      </c>
      <c r="C86" s="7"/>
      <c r="D86" s="7"/>
      <c r="E86" s="7"/>
      <c r="F86" s="15"/>
      <c r="G86" s="196">
        <f>16247/7.5345</f>
        <v>2156.3474683124296</v>
      </c>
      <c r="H86" s="206"/>
      <c r="I86" s="196">
        <v>4300</v>
      </c>
      <c r="J86" s="206"/>
      <c r="K86" s="196">
        <v>4065.06</v>
      </c>
      <c r="L86" s="206"/>
      <c r="M86" s="196">
        <v>4065.06</v>
      </c>
      <c r="N86" s="206"/>
      <c r="O86" s="51">
        <f t="shared" si="52"/>
        <v>188.5160003077491</v>
      </c>
      <c r="P86" s="51">
        <f t="shared" si="65"/>
        <v>100</v>
      </c>
      <c r="Q86" s="2"/>
    </row>
    <row r="87" spans="1:17" x14ac:dyDescent="0.25">
      <c r="A87" s="14">
        <v>3237</v>
      </c>
      <c r="B87" s="7" t="s">
        <v>74</v>
      </c>
      <c r="C87" s="7"/>
      <c r="D87" s="7"/>
      <c r="E87" s="7"/>
      <c r="F87" s="15"/>
      <c r="G87" s="196">
        <f>19924.02/7.5345</f>
        <v>2644.3718893091777</v>
      </c>
      <c r="H87" s="206"/>
      <c r="I87" s="196">
        <f>2700+1077.46</f>
        <v>3777.46</v>
      </c>
      <c r="J87" s="206"/>
      <c r="K87" s="196">
        <f>2638.7+300.59+1077.46+730.02</f>
        <v>4746.7700000000004</v>
      </c>
      <c r="L87" s="206"/>
      <c r="M87" s="196">
        <v>4746.7700000000004</v>
      </c>
      <c r="N87" s="206"/>
      <c r="O87" s="51">
        <f t="shared" si="52"/>
        <v>179.50463091785696</v>
      </c>
      <c r="P87" s="51">
        <f t="shared" si="65"/>
        <v>100</v>
      </c>
      <c r="Q87" s="2"/>
    </row>
    <row r="88" spans="1:17" x14ac:dyDescent="0.25">
      <c r="A88" s="14">
        <v>3238</v>
      </c>
      <c r="B88" s="7" t="s">
        <v>75</v>
      </c>
      <c r="C88" s="7"/>
      <c r="D88" s="7"/>
      <c r="E88" s="7"/>
      <c r="F88" s="15"/>
      <c r="G88" s="196">
        <f>28153.38/7.5345</f>
        <v>3736.595659964165</v>
      </c>
      <c r="H88" s="206"/>
      <c r="I88" s="196">
        <v>5000</v>
      </c>
      <c r="J88" s="206"/>
      <c r="K88" s="196">
        <v>5077.7700000000004</v>
      </c>
      <c r="L88" s="206"/>
      <c r="M88" s="196">
        <v>5077.7700000000004</v>
      </c>
      <c r="N88" s="206"/>
      <c r="O88" s="51">
        <f t="shared" si="52"/>
        <v>135.8929480758616</v>
      </c>
      <c r="P88" s="51">
        <f t="shared" si="65"/>
        <v>100</v>
      </c>
      <c r="Q88" s="2"/>
    </row>
    <row r="89" spans="1:17" x14ac:dyDescent="0.25">
      <c r="A89" s="14">
        <v>3239</v>
      </c>
      <c r="B89" s="7" t="s">
        <v>76</v>
      </c>
      <c r="C89" s="7"/>
      <c r="D89" s="7"/>
      <c r="E89" s="7"/>
      <c r="F89" s="15"/>
      <c r="G89" s="196">
        <f>21652.44/7.5345</f>
        <v>2873.7726458291854</v>
      </c>
      <c r="H89" s="206"/>
      <c r="I89" s="196">
        <v>2000</v>
      </c>
      <c r="J89" s="206"/>
      <c r="K89" s="196">
        <f>1949.16+265</f>
        <v>2214.16</v>
      </c>
      <c r="L89" s="206"/>
      <c r="M89" s="196">
        <v>2042.98</v>
      </c>
      <c r="N89" s="206"/>
      <c r="O89" s="51">
        <f t="shared" si="52"/>
        <v>71.090522869478008</v>
      </c>
      <c r="P89" s="51">
        <f t="shared" si="65"/>
        <v>92.268851392853279</v>
      </c>
      <c r="Q89" s="2"/>
    </row>
    <row r="90" spans="1:17" x14ac:dyDescent="0.25">
      <c r="A90" s="12">
        <v>329</v>
      </c>
      <c r="B90" s="4" t="s">
        <v>77</v>
      </c>
      <c r="C90" s="4"/>
      <c r="D90" s="4"/>
      <c r="E90" s="4"/>
      <c r="F90" s="13"/>
      <c r="G90" s="202">
        <f t="shared" ref="G90" si="72">G91+G93+G94+G95+G96+G97+G98</f>
        <v>20397.519157210165</v>
      </c>
      <c r="H90" s="203"/>
      <c r="I90" s="202">
        <f>I91+I93+I94+I95+I96+I97+I98</f>
        <v>19592.330000000002</v>
      </c>
      <c r="J90" s="203"/>
      <c r="K90" s="202">
        <f>K91+K93+K94+K95+K96+K97+K98</f>
        <v>22538.339999999997</v>
      </c>
      <c r="L90" s="203"/>
      <c r="M90" s="202">
        <f t="shared" ref="M90" si="73">M91+M93+M94+M95+M96+M97+M98</f>
        <v>15737.93</v>
      </c>
      <c r="N90" s="203"/>
      <c r="O90" s="51">
        <f t="shared" si="52"/>
        <v>77.156098634852455</v>
      </c>
      <c r="P90" s="51">
        <f t="shared" si="65"/>
        <v>69.827369717556849</v>
      </c>
      <c r="Q90" s="2"/>
    </row>
    <row r="91" spans="1:17" x14ac:dyDescent="0.25">
      <c r="A91" s="17">
        <v>3291</v>
      </c>
      <c r="B91" s="242" t="s">
        <v>78</v>
      </c>
      <c r="C91" s="242"/>
      <c r="D91" s="242"/>
      <c r="E91" s="242"/>
      <c r="F91" s="243"/>
      <c r="G91" s="198">
        <f>486/7.5345</f>
        <v>64.503284889508265</v>
      </c>
      <c r="H91" s="234"/>
      <c r="I91" s="198">
        <v>150</v>
      </c>
      <c r="J91" s="234"/>
      <c r="K91" s="198">
        <f>150+893.33</f>
        <v>1043.33</v>
      </c>
      <c r="L91" s="234"/>
      <c r="M91" s="198">
        <v>893.33</v>
      </c>
      <c r="N91" s="234"/>
      <c r="O91" s="237">
        <f>M91/G91*100</f>
        <v>1384.9372191358025</v>
      </c>
      <c r="P91" s="237">
        <f>M91/K91*100</f>
        <v>85.622957261844306</v>
      </c>
      <c r="Q91" s="2"/>
    </row>
    <row r="92" spans="1:17" x14ac:dyDescent="0.25">
      <c r="A92" s="31"/>
      <c r="B92" s="242"/>
      <c r="C92" s="242"/>
      <c r="D92" s="242"/>
      <c r="E92" s="242"/>
      <c r="F92" s="243"/>
      <c r="G92" s="235"/>
      <c r="H92" s="236"/>
      <c r="I92" s="235"/>
      <c r="J92" s="236"/>
      <c r="K92" s="235"/>
      <c r="L92" s="236"/>
      <c r="M92" s="235"/>
      <c r="N92" s="236"/>
      <c r="O92" s="238"/>
      <c r="P92" s="238"/>
      <c r="Q92" s="2"/>
    </row>
    <row r="93" spans="1:17" x14ac:dyDescent="0.25">
      <c r="A93" s="14">
        <v>3292</v>
      </c>
      <c r="B93" s="7" t="s">
        <v>79</v>
      </c>
      <c r="C93" s="7"/>
      <c r="D93" s="7"/>
      <c r="E93" s="7"/>
      <c r="F93" s="15"/>
      <c r="G93" s="239">
        <f>3072.62/7.5345</f>
        <v>407.80675559094828</v>
      </c>
      <c r="H93" s="239"/>
      <c r="I93" s="196">
        <v>530.9</v>
      </c>
      <c r="J93" s="206"/>
      <c r="K93" s="196">
        <v>298.3</v>
      </c>
      <c r="L93" s="206"/>
      <c r="M93" s="239">
        <v>298.3</v>
      </c>
      <c r="N93" s="239"/>
      <c r="O93" s="51">
        <f>M93/G93*100</f>
        <v>73.147390500615117</v>
      </c>
      <c r="P93" s="51">
        <f>M93/K93*100</f>
        <v>100</v>
      </c>
      <c r="Q93" s="2"/>
    </row>
    <row r="94" spans="1:17" x14ac:dyDescent="0.25">
      <c r="A94" s="14">
        <v>3293</v>
      </c>
      <c r="B94" s="7" t="s">
        <v>80</v>
      </c>
      <c r="C94" s="7"/>
      <c r="D94" s="7"/>
      <c r="E94" s="7"/>
      <c r="F94" s="15"/>
      <c r="G94" s="239">
        <f>1670/7.5345</f>
        <v>221.64709005242548</v>
      </c>
      <c r="H94" s="239"/>
      <c r="I94" s="196">
        <v>400</v>
      </c>
      <c r="J94" s="206"/>
      <c r="K94" s="196">
        <v>350</v>
      </c>
      <c r="L94" s="206"/>
      <c r="M94" s="239">
        <v>350</v>
      </c>
      <c r="N94" s="239"/>
      <c r="O94" s="51">
        <f t="shared" ref="O94:O101" si="74">M94/G94*100</f>
        <v>157.90868263473058</v>
      </c>
      <c r="P94" s="51">
        <f t="shared" ref="P94:P101" si="75">M94/K94*100</f>
        <v>100</v>
      </c>
      <c r="Q94" s="2"/>
    </row>
    <row r="95" spans="1:17" x14ac:dyDescent="0.25">
      <c r="A95" s="14">
        <v>3294</v>
      </c>
      <c r="B95" s="7" t="s">
        <v>99</v>
      </c>
      <c r="C95" s="7"/>
      <c r="D95" s="7"/>
      <c r="E95" s="7"/>
      <c r="F95" s="15"/>
      <c r="G95" s="239">
        <f>250/7.5345</f>
        <v>33.180702103656515</v>
      </c>
      <c r="H95" s="239"/>
      <c r="I95" s="196">
        <v>70</v>
      </c>
      <c r="J95" s="206"/>
      <c r="K95" s="196">
        <v>150</v>
      </c>
      <c r="L95" s="206"/>
      <c r="M95" s="239">
        <v>150</v>
      </c>
      <c r="N95" s="239"/>
      <c r="O95" s="51">
        <f t="shared" si="74"/>
        <v>452.07</v>
      </c>
      <c r="P95" s="51">
        <f t="shared" si="75"/>
        <v>100</v>
      </c>
      <c r="Q95" s="2"/>
    </row>
    <row r="96" spans="1:17" x14ac:dyDescent="0.25">
      <c r="A96" s="14">
        <v>3295</v>
      </c>
      <c r="B96" s="7" t="s">
        <v>82</v>
      </c>
      <c r="C96" s="7"/>
      <c r="D96" s="7"/>
      <c r="E96" s="7"/>
      <c r="F96" s="15"/>
      <c r="G96" s="239">
        <f>12100.44/7.5345</f>
        <v>1606.0043798526776</v>
      </c>
      <c r="H96" s="239"/>
      <c r="I96" s="196">
        <v>1700</v>
      </c>
      <c r="J96" s="206"/>
      <c r="K96" s="196">
        <v>1700</v>
      </c>
      <c r="L96" s="206"/>
      <c r="M96" s="239">
        <v>1664.51</v>
      </c>
      <c r="N96" s="239"/>
      <c r="O96" s="51">
        <f t="shared" si="74"/>
        <v>103.64293029840238</v>
      </c>
      <c r="P96" s="51">
        <f t="shared" si="75"/>
        <v>97.912352941176479</v>
      </c>
      <c r="Q96" s="2"/>
    </row>
    <row r="97" spans="1:18" x14ac:dyDescent="0.25">
      <c r="A97" s="14">
        <v>3296</v>
      </c>
      <c r="B97" s="7" t="s">
        <v>83</v>
      </c>
      <c r="C97" s="7"/>
      <c r="D97" s="7"/>
      <c r="E97" s="7"/>
      <c r="F97" s="15"/>
      <c r="G97" s="239">
        <f>87090.51/7.5345</f>
        <v>11558.897073462073</v>
      </c>
      <c r="H97" s="239"/>
      <c r="I97" s="196">
        <f>1266.77+2864.01</f>
        <v>4130.7800000000007</v>
      </c>
      <c r="J97" s="206"/>
      <c r="K97" s="196">
        <v>4130.78</v>
      </c>
      <c r="L97" s="206"/>
      <c r="M97" s="239">
        <v>4030.99</v>
      </c>
      <c r="N97" s="239"/>
      <c r="O97" s="51">
        <f t="shared" si="74"/>
        <v>34.873482948945878</v>
      </c>
      <c r="P97" s="51">
        <f t="shared" si="75"/>
        <v>97.58423348616968</v>
      </c>
      <c r="Q97" s="2"/>
      <c r="R97" s="35"/>
    </row>
    <row r="98" spans="1:18" x14ac:dyDescent="0.25">
      <c r="A98" s="14">
        <v>3299</v>
      </c>
      <c r="B98" s="7" t="s">
        <v>77</v>
      </c>
      <c r="C98" s="7"/>
      <c r="D98" s="7"/>
      <c r="E98" s="7"/>
      <c r="F98" s="15"/>
      <c r="G98" s="239">
        <f>54521.6/7.5345-730.78</f>
        <v>6505.4798712588754</v>
      </c>
      <c r="H98" s="239"/>
      <c r="I98" s="196">
        <f>5530.08+3070.57+4000+10</f>
        <v>12610.65</v>
      </c>
      <c r="J98" s="206"/>
      <c r="K98" s="196">
        <f>4669.94+265+7070.57+2850.42+10</f>
        <v>14865.929999999998</v>
      </c>
      <c r="L98" s="206"/>
      <c r="M98" s="239">
        <v>8350.7999999999993</v>
      </c>
      <c r="N98" s="239"/>
      <c r="O98" s="51">
        <f t="shared" si="74"/>
        <v>128.36562659879596</v>
      </c>
      <c r="P98" s="51">
        <f t="shared" si="75"/>
        <v>56.174083962456436</v>
      </c>
      <c r="Q98" s="2"/>
    </row>
    <row r="99" spans="1:18" x14ac:dyDescent="0.25">
      <c r="A99" s="21">
        <v>34</v>
      </c>
      <c r="B99" s="5" t="s">
        <v>84</v>
      </c>
      <c r="C99" s="5"/>
      <c r="D99" s="5"/>
      <c r="E99" s="5"/>
      <c r="F99" s="22"/>
      <c r="G99" s="200">
        <f t="shared" ref="G99:G106" si="76">G100</f>
        <v>0</v>
      </c>
      <c r="H99" s="201"/>
      <c r="I99" s="200">
        <f t="shared" ref="I99:K106" si="77">I100</f>
        <v>0</v>
      </c>
      <c r="J99" s="201"/>
      <c r="K99" s="200">
        <f t="shared" si="77"/>
        <v>0</v>
      </c>
      <c r="L99" s="201"/>
      <c r="M99" s="200">
        <f t="shared" ref="M99:M106" si="78">M100</f>
        <v>4398.25</v>
      </c>
      <c r="N99" s="201"/>
      <c r="O99" s="50" t="e">
        <f t="shared" si="74"/>
        <v>#DIV/0!</v>
      </c>
      <c r="P99" s="50" t="e">
        <f t="shared" si="75"/>
        <v>#DIV/0!</v>
      </c>
      <c r="Q99" s="2"/>
    </row>
    <row r="100" spans="1:18" x14ac:dyDescent="0.25">
      <c r="A100" s="12">
        <v>343</v>
      </c>
      <c r="B100" s="4" t="s">
        <v>100</v>
      </c>
      <c r="C100" s="4"/>
      <c r="D100" s="4"/>
      <c r="E100" s="4"/>
      <c r="F100" s="13"/>
      <c r="G100" s="202">
        <f t="shared" si="76"/>
        <v>0</v>
      </c>
      <c r="H100" s="203"/>
      <c r="I100" s="202">
        <f t="shared" si="77"/>
        <v>0</v>
      </c>
      <c r="J100" s="203"/>
      <c r="K100" s="202">
        <f t="shared" si="77"/>
        <v>0</v>
      </c>
      <c r="L100" s="203"/>
      <c r="M100" s="202">
        <f t="shared" si="78"/>
        <v>4398.25</v>
      </c>
      <c r="N100" s="203"/>
      <c r="O100" s="51" t="e">
        <f t="shared" si="74"/>
        <v>#DIV/0!</v>
      </c>
      <c r="P100" s="51" t="e">
        <f t="shared" si="75"/>
        <v>#DIV/0!</v>
      </c>
      <c r="Q100" s="2"/>
    </row>
    <row r="101" spans="1:18" x14ac:dyDescent="0.25">
      <c r="A101" s="17">
        <v>3433</v>
      </c>
      <c r="B101" s="8" t="s">
        <v>85</v>
      </c>
      <c r="C101" s="8"/>
      <c r="D101" s="8"/>
      <c r="E101" s="8"/>
      <c r="F101" s="32"/>
      <c r="G101" s="198"/>
      <c r="H101" s="199"/>
      <c r="I101" s="198"/>
      <c r="J101" s="199"/>
      <c r="K101" s="198"/>
      <c r="L101" s="199"/>
      <c r="M101" s="198">
        <v>4398.25</v>
      </c>
      <c r="N101" s="199"/>
      <c r="O101" s="51" t="e">
        <f t="shared" si="74"/>
        <v>#DIV/0!</v>
      </c>
      <c r="P101" s="51" t="e">
        <f t="shared" si="75"/>
        <v>#DIV/0!</v>
      </c>
      <c r="Q101" s="2"/>
    </row>
    <row r="102" spans="1:18" x14ac:dyDescent="0.25">
      <c r="A102" s="10">
        <v>37</v>
      </c>
      <c r="B102" s="209" t="s">
        <v>163</v>
      </c>
      <c r="C102" s="209"/>
      <c r="D102" s="209"/>
      <c r="E102" s="209"/>
      <c r="F102" s="210"/>
      <c r="G102" s="213">
        <f>G104</f>
        <v>1119.5089256088659</v>
      </c>
      <c r="H102" s="214"/>
      <c r="I102" s="213">
        <f>I104</f>
        <v>0</v>
      </c>
      <c r="J102" s="214"/>
      <c r="K102" s="213">
        <f>K104</f>
        <v>0</v>
      </c>
      <c r="L102" s="214"/>
      <c r="M102" s="213">
        <f>M104</f>
        <v>0</v>
      </c>
      <c r="N102" s="214"/>
      <c r="O102" s="207">
        <f t="shared" ref="O102:O105" si="79">M102/G102*100</f>
        <v>0</v>
      </c>
      <c r="P102" s="207" t="e">
        <f t="shared" ref="P102:P105" si="80">M102/K102*100</f>
        <v>#DIV/0!</v>
      </c>
      <c r="Q102" s="2"/>
    </row>
    <row r="103" spans="1:18" x14ac:dyDescent="0.25">
      <c r="A103" s="39"/>
      <c r="B103" s="211"/>
      <c r="C103" s="211"/>
      <c r="D103" s="211"/>
      <c r="E103" s="211"/>
      <c r="F103" s="212"/>
      <c r="G103" s="215"/>
      <c r="H103" s="216"/>
      <c r="I103" s="215"/>
      <c r="J103" s="216"/>
      <c r="K103" s="215"/>
      <c r="L103" s="216"/>
      <c r="M103" s="215"/>
      <c r="N103" s="216"/>
      <c r="O103" s="208"/>
      <c r="P103" s="208"/>
      <c r="Q103" s="2"/>
    </row>
    <row r="104" spans="1:18" x14ac:dyDescent="0.25">
      <c r="A104" s="12">
        <v>372</v>
      </c>
      <c r="B104" s="4" t="s">
        <v>164</v>
      </c>
      <c r="C104" s="4"/>
      <c r="D104" s="4"/>
      <c r="E104" s="4"/>
      <c r="F104" s="13"/>
      <c r="G104" s="202">
        <f>G105</f>
        <v>1119.5089256088659</v>
      </c>
      <c r="H104" s="203"/>
      <c r="I104" s="202">
        <f t="shared" ref="I104" si="81">I105</f>
        <v>0</v>
      </c>
      <c r="J104" s="203"/>
      <c r="K104" s="202">
        <f t="shared" ref="K104" si="82">K105</f>
        <v>0</v>
      </c>
      <c r="L104" s="203"/>
      <c r="M104" s="202">
        <f t="shared" ref="M104" si="83">M105</f>
        <v>0</v>
      </c>
      <c r="N104" s="203"/>
      <c r="O104" s="51">
        <f t="shared" si="79"/>
        <v>0</v>
      </c>
      <c r="P104" s="51" t="e">
        <f t="shared" si="80"/>
        <v>#DIV/0!</v>
      </c>
      <c r="Q104" s="2"/>
    </row>
    <row r="105" spans="1:18" x14ac:dyDescent="0.25">
      <c r="A105" s="17">
        <v>3721</v>
      </c>
      <c r="B105" s="8" t="s">
        <v>165</v>
      </c>
      <c r="C105" s="8"/>
      <c r="D105" s="8"/>
      <c r="E105" s="8"/>
      <c r="F105" s="32"/>
      <c r="G105" s="198">
        <f>8434.94/7.5345</f>
        <v>1119.5089256088659</v>
      </c>
      <c r="H105" s="199"/>
      <c r="I105" s="198"/>
      <c r="J105" s="199"/>
      <c r="K105" s="198"/>
      <c r="L105" s="199"/>
      <c r="M105" s="198"/>
      <c r="N105" s="199"/>
      <c r="O105" s="51">
        <f t="shared" si="79"/>
        <v>0</v>
      </c>
      <c r="P105" s="51" t="e">
        <f t="shared" si="80"/>
        <v>#DIV/0!</v>
      </c>
      <c r="Q105" s="2"/>
    </row>
    <row r="106" spans="1:18" x14ac:dyDescent="0.25">
      <c r="A106" s="21">
        <v>38</v>
      </c>
      <c r="B106" s="5" t="s">
        <v>166</v>
      </c>
      <c r="C106" s="5"/>
      <c r="D106" s="5"/>
      <c r="E106" s="5"/>
      <c r="F106" s="22"/>
      <c r="G106" s="200">
        <f t="shared" si="76"/>
        <v>199.08421262193906</v>
      </c>
      <c r="H106" s="201"/>
      <c r="I106" s="200">
        <f t="shared" si="77"/>
        <v>0</v>
      </c>
      <c r="J106" s="201"/>
      <c r="K106" s="200">
        <f t="shared" si="77"/>
        <v>1427.2</v>
      </c>
      <c r="L106" s="201"/>
      <c r="M106" s="200">
        <f t="shared" si="78"/>
        <v>1427.2</v>
      </c>
      <c r="N106" s="201"/>
      <c r="O106" s="51">
        <f t="shared" ref="O106:O108" si="84">M106/G106*100</f>
        <v>716.88256000000013</v>
      </c>
      <c r="P106" s="51">
        <f t="shared" ref="P106:P108" si="85">M106/K106*100</f>
        <v>100</v>
      </c>
      <c r="Q106" s="2"/>
    </row>
    <row r="107" spans="1:18" x14ac:dyDescent="0.25">
      <c r="A107" s="12">
        <v>381</v>
      </c>
      <c r="B107" s="4" t="s">
        <v>35</v>
      </c>
      <c r="C107" s="4"/>
      <c r="D107" s="4"/>
      <c r="E107" s="4"/>
      <c r="F107" s="13"/>
      <c r="G107" s="202">
        <f>G108+G109</f>
        <v>199.08421262193906</v>
      </c>
      <c r="H107" s="203"/>
      <c r="I107" s="202">
        <f>I108+I109</f>
        <v>0</v>
      </c>
      <c r="J107" s="203"/>
      <c r="K107" s="202">
        <f t="shared" ref="K107" si="86">K108+K109</f>
        <v>1427.2</v>
      </c>
      <c r="L107" s="203"/>
      <c r="M107" s="202">
        <f t="shared" ref="M107" si="87">M108+M109</f>
        <v>1427.2</v>
      </c>
      <c r="N107" s="203"/>
      <c r="O107" s="51">
        <f t="shared" si="84"/>
        <v>716.88256000000013</v>
      </c>
      <c r="P107" s="51">
        <f t="shared" si="85"/>
        <v>100</v>
      </c>
      <c r="Q107" s="2"/>
    </row>
    <row r="108" spans="1:18" x14ac:dyDescent="0.25">
      <c r="A108" s="17">
        <v>3811</v>
      </c>
      <c r="B108" s="8" t="s">
        <v>167</v>
      </c>
      <c r="C108" s="8"/>
      <c r="D108" s="8"/>
      <c r="E108" s="8"/>
      <c r="F108" s="32"/>
      <c r="G108" s="198">
        <f>1500/7.5345</f>
        <v>199.08421262193906</v>
      </c>
      <c r="H108" s="199"/>
      <c r="I108" s="198"/>
      <c r="J108" s="199"/>
      <c r="K108" s="198"/>
      <c r="L108" s="199"/>
      <c r="M108" s="198"/>
      <c r="N108" s="199"/>
      <c r="O108" s="51">
        <f t="shared" si="84"/>
        <v>0</v>
      </c>
      <c r="P108" s="51" t="e">
        <f t="shared" si="85"/>
        <v>#DIV/0!</v>
      </c>
      <c r="Q108" s="2"/>
    </row>
    <row r="109" spans="1:18" x14ac:dyDescent="0.25">
      <c r="A109" s="17">
        <v>3812</v>
      </c>
      <c r="B109" s="8" t="s">
        <v>217</v>
      </c>
      <c r="C109" s="8"/>
      <c r="D109" s="8"/>
      <c r="E109" s="8"/>
      <c r="F109" s="32"/>
      <c r="G109" s="196"/>
      <c r="H109" s="197"/>
      <c r="I109" s="198"/>
      <c r="J109" s="199"/>
      <c r="K109" s="198">
        <v>1427.2</v>
      </c>
      <c r="L109" s="199"/>
      <c r="M109" s="198">
        <v>1427.2</v>
      </c>
      <c r="N109" s="199"/>
      <c r="O109" s="51" t="e">
        <f t="shared" ref="O109" si="88">M109/G109*100</f>
        <v>#DIV/0!</v>
      </c>
      <c r="P109" s="51">
        <f t="shared" ref="P109" si="89">M109/K109*100</f>
        <v>100</v>
      </c>
      <c r="Q109" s="2"/>
    </row>
    <row r="110" spans="1:18" x14ac:dyDescent="0.25">
      <c r="A110" s="19">
        <v>4</v>
      </c>
      <c r="B110" s="244" t="s">
        <v>94</v>
      </c>
      <c r="C110" s="244"/>
      <c r="D110" s="244"/>
      <c r="E110" s="244"/>
      <c r="F110" s="245"/>
      <c r="G110" s="204">
        <f>G111+G113+G120</f>
        <v>35006.752936492128</v>
      </c>
      <c r="H110" s="205"/>
      <c r="I110" s="204">
        <f>I111+I113+I120</f>
        <v>4800</v>
      </c>
      <c r="J110" s="205"/>
      <c r="K110" s="204">
        <f>K111+K113+K120</f>
        <v>156316.29999999999</v>
      </c>
      <c r="L110" s="205"/>
      <c r="M110" s="204">
        <f>M111+M113+M120</f>
        <v>149831.72999999998</v>
      </c>
      <c r="N110" s="205"/>
      <c r="O110" s="53">
        <f>M110/G110*100</f>
        <v>428.00807681826075</v>
      </c>
      <c r="P110" s="53">
        <f>M110/K110*100</f>
        <v>95.851635434052611</v>
      </c>
      <c r="Q110" s="2"/>
    </row>
    <row r="111" spans="1:18" x14ac:dyDescent="0.25">
      <c r="A111" s="21">
        <v>41</v>
      </c>
      <c r="B111" s="5" t="s">
        <v>86</v>
      </c>
      <c r="C111" s="5"/>
      <c r="D111" s="5"/>
      <c r="E111" s="5"/>
      <c r="F111" s="22"/>
      <c r="G111" s="200">
        <f>G112</f>
        <v>0</v>
      </c>
      <c r="H111" s="201"/>
      <c r="I111" s="200">
        <f t="shared" ref="I111:K111" si="90">I112</f>
        <v>0</v>
      </c>
      <c r="J111" s="201"/>
      <c r="K111" s="200">
        <f t="shared" si="90"/>
        <v>0</v>
      </c>
      <c r="L111" s="201"/>
      <c r="M111" s="200">
        <f t="shared" ref="M111" si="91">M112</f>
        <v>0</v>
      </c>
      <c r="N111" s="201"/>
      <c r="O111" s="50" t="e">
        <f>M111/G111*100</f>
        <v>#DIV/0!</v>
      </c>
      <c r="P111" s="50" t="e">
        <f>M111/K111*100</f>
        <v>#DIV/0!</v>
      </c>
      <c r="Q111" s="2"/>
    </row>
    <row r="112" spans="1:18" x14ac:dyDescent="0.25">
      <c r="A112" s="12">
        <v>412</v>
      </c>
      <c r="B112" s="4" t="s">
        <v>87</v>
      </c>
      <c r="C112" s="4"/>
      <c r="D112" s="4"/>
      <c r="E112" s="4"/>
      <c r="F112" s="13"/>
      <c r="G112" s="202">
        <v>0</v>
      </c>
      <c r="H112" s="203"/>
      <c r="I112" s="202">
        <v>0</v>
      </c>
      <c r="J112" s="203"/>
      <c r="K112" s="202">
        <v>0</v>
      </c>
      <c r="L112" s="203"/>
      <c r="M112" s="202">
        <v>0</v>
      </c>
      <c r="N112" s="203"/>
      <c r="O112" s="51" t="e">
        <f t="shared" ref="O112:O119" si="92">M112/G112*100</f>
        <v>#DIV/0!</v>
      </c>
      <c r="P112" s="51" t="e">
        <f t="shared" ref="P112:P119" si="93">M112/K112*100</f>
        <v>#DIV/0!</v>
      </c>
      <c r="Q112" s="2"/>
    </row>
    <row r="113" spans="1:19" x14ac:dyDescent="0.25">
      <c r="A113" s="21">
        <v>42</v>
      </c>
      <c r="B113" s="5" t="s">
        <v>88</v>
      </c>
      <c r="C113" s="5"/>
      <c r="D113" s="5"/>
      <c r="E113" s="5"/>
      <c r="F113" s="22"/>
      <c r="G113" s="200">
        <f>G114+G118</f>
        <v>35006.752936492128</v>
      </c>
      <c r="H113" s="201"/>
      <c r="I113" s="200">
        <f>I114+I118</f>
        <v>4800</v>
      </c>
      <c r="J113" s="201"/>
      <c r="K113" s="200">
        <f>K114+K118</f>
        <v>4800</v>
      </c>
      <c r="L113" s="201"/>
      <c r="M113" s="200">
        <f>M114+M118</f>
        <v>3928.02</v>
      </c>
      <c r="N113" s="201"/>
      <c r="O113" s="50">
        <f t="shared" si="92"/>
        <v>11.220749342637003</v>
      </c>
      <c r="P113" s="50">
        <f t="shared" si="93"/>
        <v>81.833750000000009</v>
      </c>
      <c r="Q113" s="2"/>
    </row>
    <row r="114" spans="1:19" x14ac:dyDescent="0.25">
      <c r="A114" s="12">
        <v>422</v>
      </c>
      <c r="B114" s="4" t="s">
        <v>89</v>
      </c>
      <c r="C114" s="4"/>
      <c r="D114" s="4"/>
      <c r="E114" s="4"/>
      <c r="F114" s="13"/>
      <c r="G114" s="202">
        <f>G115+G116+G117</f>
        <v>33768.29650275399</v>
      </c>
      <c r="H114" s="203"/>
      <c r="I114" s="202">
        <f t="shared" ref="I114" si="94">I115+I116+I117</f>
        <v>2800</v>
      </c>
      <c r="J114" s="203"/>
      <c r="K114" s="202">
        <f t="shared" ref="K114" si="95">K115+K116+K117</f>
        <v>2800</v>
      </c>
      <c r="L114" s="203"/>
      <c r="M114" s="202">
        <f t="shared" ref="M114" si="96">M115+M116+M117</f>
        <v>3132.34</v>
      </c>
      <c r="N114" s="203"/>
      <c r="O114" s="51">
        <f t="shared" si="92"/>
        <v>9.275978726805306</v>
      </c>
      <c r="P114" s="51">
        <f t="shared" si="93"/>
        <v>111.86928571428571</v>
      </c>
      <c r="Q114" s="2"/>
    </row>
    <row r="115" spans="1:19" x14ac:dyDescent="0.25">
      <c r="A115" s="14">
        <v>4221</v>
      </c>
      <c r="B115" s="7" t="s">
        <v>101</v>
      </c>
      <c r="C115" s="7"/>
      <c r="D115" s="7"/>
      <c r="E115" s="7"/>
      <c r="F115" s="15"/>
      <c r="G115" s="196">
        <f>190461.28/7.5345</f>
        <v>25278.555975844447</v>
      </c>
      <c r="H115" s="206"/>
      <c r="I115" s="196">
        <f>1500+1300</f>
        <v>2800</v>
      </c>
      <c r="J115" s="206"/>
      <c r="K115" s="196">
        <v>2800</v>
      </c>
      <c r="L115" s="206"/>
      <c r="M115" s="196">
        <v>3132.34</v>
      </c>
      <c r="N115" s="206"/>
      <c r="O115" s="51">
        <f t="shared" si="92"/>
        <v>12.391293248685509</v>
      </c>
      <c r="P115" s="51">
        <f t="shared" si="93"/>
        <v>111.86928571428571</v>
      </c>
      <c r="Q115" s="2"/>
    </row>
    <row r="116" spans="1:19" x14ac:dyDescent="0.25">
      <c r="A116" s="14">
        <v>4223</v>
      </c>
      <c r="B116" s="7" t="s">
        <v>90</v>
      </c>
      <c r="C116" s="7"/>
      <c r="D116" s="7"/>
      <c r="E116" s="7"/>
      <c r="F116" s="15"/>
      <c r="G116" s="196">
        <f>4966/7.5345</f>
        <v>659.10146658703297</v>
      </c>
      <c r="H116" s="206"/>
      <c r="I116" s="196"/>
      <c r="J116" s="206"/>
      <c r="K116" s="196"/>
      <c r="L116" s="206"/>
      <c r="M116" s="196"/>
      <c r="N116" s="206"/>
      <c r="O116" s="51">
        <f t="shared" si="92"/>
        <v>0</v>
      </c>
      <c r="P116" s="51" t="e">
        <f t="shared" si="93"/>
        <v>#DIV/0!</v>
      </c>
      <c r="Q116" s="2"/>
    </row>
    <row r="117" spans="1:19" x14ac:dyDescent="0.25">
      <c r="A117" s="14">
        <v>4227</v>
      </c>
      <c r="B117" s="7" t="s">
        <v>91</v>
      </c>
      <c r="C117" s="7"/>
      <c r="D117" s="7"/>
      <c r="E117" s="7"/>
      <c r="F117" s="15"/>
      <c r="G117" s="196">
        <f>58999.95/7.5345</f>
        <v>7830.6390603225154</v>
      </c>
      <c r="H117" s="206"/>
      <c r="I117" s="196"/>
      <c r="J117" s="206"/>
      <c r="K117" s="196"/>
      <c r="L117" s="206"/>
      <c r="M117" s="196"/>
      <c r="N117" s="206"/>
      <c r="O117" s="51">
        <f t="shared" si="92"/>
        <v>0</v>
      </c>
      <c r="P117" s="51" t="e">
        <f t="shared" si="93"/>
        <v>#DIV/0!</v>
      </c>
      <c r="Q117" s="2"/>
    </row>
    <row r="118" spans="1:19" x14ac:dyDescent="0.25">
      <c r="A118" s="12">
        <v>424</v>
      </c>
      <c r="B118" s="4" t="s">
        <v>92</v>
      </c>
      <c r="C118" s="4"/>
      <c r="D118" s="4"/>
      <c r="E118" s="4"/>
      <c r="F118" s="13"/>
      <c r="G118" s="202">
        <f t="shared" ref="G118" si="97">G119</f>
        <v>1238.4564337381378</v>
      </c>
      <c r="H118" s="203"/>
      <c r="I118" s="202">
        <f t="shared" ref="I118:K118" si="98">I119</f>
        <v>2000</v>
      </c>
      <c r="J118" s="203"/>
      <c r="K118" s="202">
        <f t="shared" si="98"/>
        <v>2000</v>
      </c>
      <c r="L118" s="203"/>
      <c r="M118" s="202">
        <f t="shared" ref="M118" si="99">M119</f>
        <v>795.68</v>
      </c>
      <c r="N118" s="203"/>
      <c r="O118" s="51">
        <f t="shared" si="92"/>
        <v>64.247718234086904</v>
      </c>
      <c r="P118" s="51">
        <f t="shared" si="93"/>
        <v>39.783999999999999</v>
      </c>
      <c r="Q118" s="2"/>
    </row>
    <row r="119" spans="1:19" x14ac:dyDescent="0.25">
      <c r="A119" s="14">
        <v>4241</v>
      </c>
      <c r="B119" s="7" t="s">
        <v>93</v>
      </c>
      <c r="C119" s="7"/>
      <c r="D119" s="7"/>
      <c r="E119" s="7"/>
      <c r="F119" s="15"/>
      <c r="G119" s="196">
        <f>9331.15/7.5345</f>
        <v>1238.4564337381378</v>
      </c>
      <c r="H119" s="206"/>
      <c r="I119" s="196">
        <v>2000</v>
      </c>
      <c r="J119" s="206"/>
      <c r="K119" s="196">
        <v>2000</v>
      </c>
      <c r="L119" s="206"/>
      <c r="M119" s="196">
        <v>795.68</v>
      </c>
      <c r="N119" s="206"/>
      <c r="O119" s="51">
        <f t="shared" si="92"/>
        <v>64.247718234086904</v>
      </c>
      <c r="P119" s="51">
        <f t="shared" si="93"/>
        <v>39.783999999999999</v>
      </c>
      <c r="Q119" s="2"/>
    </row>
    <row r="120" spans="1:19" x14ac:dyDescent="0.25">
      <c r="A120" s="21">
        <v>45</v>
      </c>
      <c r="B120" s="5" t="s">
        <v>197</v>
      </c>
      <c r="C120" s="5"/>
      <c r="D120" s="5"/>
      <c r="E120" s="5"/>
      <c r="F120" s="22"/>
      <c r="G120" s="200">
        <f t="shared" ref="G120" si="100">G121+G127</f>
        <v>0</v>
      </c>
      <c r="H120" s="201"/>
      <c r="I120" s="200">
        <f t="shared" ref="I120" si="101">I121+I127</f>
        <v>0</v>
      </c>
      <c r="J120" s="201"/>
      <c r="K120" s="200">
        <f>K121+K127</f>
        <v>151516.29999999999</v>
      </c>
      <c r="L120" s="201"/>
      <c r="M120" s="200">
        <f t="shared" ref="M120" si="102">M121+M127</f>
        <v>145903.71</v>
      </c>
      <c r="N120" s="201"/>
      <c r="O120" s="50" t="e">
        <f t="shared" ref="O120:O122" si="103">M120/G120*100</f>
        <v>#DIV/0!</v>
      </c>
      <c r="P120" s="50">
        <f t="shared" ref="P120:P122" si="104">M120/K120*100</f>
        <v>96.295718678452431</v>
      </c>
      <c r="Q120" s="2"/>
    </row>
    <row r="121" spans="1:19" x14ac:dyDescent="0.25">
      <c r="A121" s="12">
        <v>451</v>
      </c>
      <c r="B121" s="4" t="s">
        <v>198</v>
      </c>
      <c r="C121" s="4"/>
      <c r="D121" s="4"/>
      <c r="E121" s="4"/>
      <c r="F121" s="13"/>
      <c r="G121" s="202">
        <f>G122</f>
        <v>0</v>
      </c>
      <c r="H121" s="203"/>
      <c r="I121" s="202">
        <f t="shared" ref="I121" si="105">I122</f>
        <v>0</v>
      </c>
      <c r="J121" s="203"/>
      <c r="K121" s="202">
        <f t="shared" ref="K121" si="106">K122</f>
        <v>151516.29999999999</v>
      </c>
      <c r="L121" s="203"/>
      <c r="M121" s="202">
        <f t="shared" ref="M121" si="107">M122</f>
        <v>145903.71</v>
      </c>
      <c r="N121" s="203"/>
      <c r="O121" s="51" t="e">
        <f t="shared" si="103"/>
        <v>#DIV/0!</v>
      </c>
      <c r="P121" s="51">
        <f t="shared" si="104"/>
        <v>96.295718678452431</v>
      </c>
      <c r="Q121" s="2"/>
    </row>
    <row r="122" spans="1:19" ht="15.75" thickBot="1" x14ac:dyDescent="0.3">
      <c r="A122" s="14">
        <v>4511</v>
      </c>
      <c r="B122" s="7" t="s">
        <v>198</v>
      </c>
      <c r="C122" s="7"/>
      <c r="D122" s="7"/>
      <c r="E122" s="7"/>
      <c r="F122" s="15"/>
      <c r="G122" s="196"/>
      <c r="H122" s="206"/>
      <c r="I122" s="196"/>
      <c r="J122" s="206"/>
      <c r="K122" s="196">
        <v>151516.29999999999</v>
      </c>
      <c r="L122" s="206"/>
      <c r="M122" s="196">
        <v>145903.71</v>
      </c>
      <c r="N122" s="206"/>
      <c r="O122" s="51" t="e">
        <f t="shared" si="103"/>
        <v>#DIV/0!</v>
      </c>
      <c r="P122" s="51">
        <f t="shared" si="104"/>
        <v>96.295718678452431</v>
      </c>
      <c r="Q122" s="2"/>
    </row>
    <row r="123" spans="1:19" ht="15.75" thickBot="1" x14ac:dyDescent="0.3">
      <c r="A123" s="240" t="s">
        <v>51</v>
      </c>
      <c r="B123" s="240" t="s">
        <v>51</v>
      </c>
      <c r="C123" s="240"/>
      <c r="D123" s="240"/>
      <c r="E123" s="240"/>
      <c r="F123" s="240"/>
      <c r="G123" s="241">
        <f>G58+G110</f>
        <v>1680399.9758563938</v>
      </c>
      <c r="H123" s="241"/>
      <c r="I123" s="241">
        <f>I58+I110</f>
        <v>1766914.7799999998</v>
      </c>
      <c r="J123" s="241"/>
      <c r="K123" s="241">
        <f>K58+K110</f>
        <v>1952297.9299999997</v>
      </c>
      <c r="L123" s="241"/>
      <c r="M123" s="241">
        <f>M58+M110</f>
        <v>2027885.8099999998</v>
      </c>
      <c r="N123" s="241"/>
      <c r="O123" s="66">
        <f t="shared" ref="O123" si="108">M123/G123*100</f>
        <v>120.67875738730088</v>
      </c>
      <c r="P123" s="66">
        <f>M123/K123*100</f>
        <v>103.87173898196984</v>
      </c>
      <c r="Q123" s="2"/>
    </row>
    <row r="124" spans="1:19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9" x14ac:dyDescent="0.25">
      <c r="Q125" s="2"/>
      <c r="S125" s="35"/>
    </row>
    <row r="126" spans="1:19" x14ac:dyDescent="0.25">
      <c r="K126" s="35"/>
    </row>
    <row r="127" spans="1:19" x14ac:dyDescent="0.25">
      <c r="S127" s="35"/>
    </row>
  </sheetData>
  <customSheetViews>
    <customSheetView guid="{005C429F-8448-44DF-83AD-8A930973E873}">
      <selection activeCell="G12" sqref="G12:L12"/>
      <rowBreaks count="1" manualBreakCount="1">
        <brk id="57" max="16383" man="1"/>
      </rowBreaks>
      <pageMargins left="0.7" right="0.7" top="0.75" bottom="0.75" header="0.3" footer="0.3"/>
      <pageSetup paperSize="9" scale="71" orientation="portrait" r:id="rId1"/>
    </customSheetView>
  </customSheetViews>
  <mergeCells count="445">
    <mergeCell ref="A5:P5"/>
    <mergeCell ref="A7:P7"/>
    <mergeCell ref="I117:J117"/>
    <mergeCell ref="I118:J118"/>
    <mergeCell ref="I119:J119"/>
    <mergeCell ref="I123:J123"/>
    <mergeCell ref="I110:J110"/>
    <mergeCell ref="I111:J111"/>
    <mergeCell ref="I112:J112"/>
    <mergeCell ref="I113:J113"/>
    <mergeCell ref="I114:J114"/>
    <mergeCell ref="I115:J115"/>
    <mergeCell ref="I116:J116"/>
    <mergeCell ref="I83:J83"/>
    <mergeCell ref="I84:J84"/>
    <mergeCell ref="I85:J85"/>
    <mergeCell ref="I86:J86"/>
    <mergeCell ref="I87:J87"/>
    <mergeCell ref="I88:J88"/>
    <mergeCell ref="I89:J89"/>
    <mergeCell ref="I90:J90"/>
    <mergeCell ref="I91:J92"/>
    <mergeCell ref="I62:J62"/>
    <mergeCell ref="I63:J63"/>
    <mergeCell ref="I64:J64"/>
    <mergeCell ref="I65:J65"/>
    <mergeCell ref="I67:J67"/>
    <mergeCell ref="I68:J68"/>
    <mergeCell ref="I69:J69"/>
    <mergeCell ref="I70:J70"/>
    <mergeCell ref="I71:J71"/>
    <mergeCell ref="I52:J52"/>
    <mergeCell ref="I53:J53"/>
    <mergeCell ref="I54:J54"/>
    <mergeCell ref="I55:J55"/>
    <mergeCell ref="I56:J56"/>
    <mergeCell ref="I58:J58"/>
    <mergeCell ref="I59:J59"/>
    <mergeCell ref="I60:J60"/>
    <mergeCell ref="I61:J61"/>
    <mergeCell ref="I37:J38"/>
    <mergeCell ref="I39:J39"/>
    <mergeCell ref="I40:J40"/>
    <mergeCell ref="I41:J42"/>
    <mergeCell ref="I43:J43"/>
    <mergeCell ref="I44:J45"/>
    <mergeCell ref="I46:J47"/>
    <mergeCell ref="I48:J49"/>
    <mergeCell ref="I50:J51"/>
    <mergeCell ref="I23:J23"/>
    <mergeCell ref="I24:J24"/>
    <mergeCell ref="I25:J26"/>
    <mergeCell ref="I27:J28"/>
    <mergeCell ref="I29:J30"/>
    <mergeCell ref="I31:J32"/>
    <mergeCell ref="I33:J33"/>
    <mergeCell ref="I34:J34"/>
    <mergeCell ref="I35:J36"/>
    <mergeCell ref="I9:J10"/>
    <mergeCell ref="I11:J11"/>
    <mergeCell ref="I12:J12"/>
    <mergeCell ref="I13:J14"/>
    <mergeCell ref="I15:J15"/>
    <mergeCell ref="I16:J16"/>
    <mergeCell ref="I17:J18"/>
    <mergeCell ref="I19:J20"/>
    <mergeCell ref="I21:J22"/>
    <mergeCell ref="A11:F11"/>
    <mergeCell ref="A9:F10"/>
    <mergeCell ref="G12:H12"/>
    <mergeCell ref="B50:F51"/>
    <mergeCell ref="B44:F45"/>
    <mergeCell ref="B41:F42"/>
    <mergeCell ref="B37:F38"/>
    <mergeCell ref="B31:F32"/>
    <mergeCell ref="B12:F12"/>
    <mergeCell ref="B13:F14"/>
    <mergeCell ref="B17:F18"/>
    <mergeCell ref="B19:F20"/>
    <mergeCell ref="B21:F22"/>
    <mergeCell ref="B46:F47"/>
    <mergeCell ref="B48:F49"/>
    <mergeCell ref="B25:F26"/>
    <mergeCell ref="G55:H55"/>
    <mergeCell ref="G11:H11"/>
    <mergeCell ref="G13:H14"/>
    <mergeCell ref="G15:H15"/>
    <mergeCell ref="G44:H45"/>
    <mergeCell ref="G46:H47"/>
    <mergeCell ref="G48:H49"/>
    <mergeCell ref="G50:H51"/>
    <mergeCell ref="G23:H23"/>
    <mergeCell ref="G24:H24"/>
    <mergeCell ref="G33:H33"/>
    <mergeCell ref="G34:H34"/>
    <mergeCell ref="G39:H39"/>
    <mergeCell ref="G40:H40"/>
    <mergeCell ref="G17:H18"/>
    <mergeCell ref="G19:H20"/>
    <mergeCell ref="G21:H22"/>
    <mergeCell ref="G31:H32"/>
    <mergeCell ref="G37:H38"/>
    <mergeCell ref="G41:H42"/>
    <mergeCell ref="G25:H26"/>
    <mergeCell ref="K11:L11"/>
    <mergeCell ref="M11:N11"/>
    <mergeCell ref="G9:H10"/>
    <mergeCell ref="K9:L10"/>
    <mergeCell ref="M9:N10"/>
    <mergeCell ref="G43:H43"/>
    <mergeCell ref="G52:H52"/>
    <mergeCell ref="G53:H53"/>
    <mergeCell ref="G54:H54"/>
    <mergeCell ref="K19:L20"/>
    <mergeCell ref="M19:N20"/>
    <mergeCell ref="K21:L22"/>
    <mergeCell ref="M21:N22"/>
    <mergeCell ref="K16:L16"/>
    <mergeCell ref="M16:N16"/>
    <mergeCell ref="K17:L18"/>
    <mergeCell ref="M17:N18"/>
    <mergeCell ref="K13:L14"/>
    <mergeCell ref="M13:N14"/>
    <mergeCell ref="K15:L15"/>
    <mergeCell ref="M15:N15"/>
    <mergeCell ref="M34:N34"/>
    <mergeCell ref="K37:L38"/>
    <mergeCell ref="M37:N38"/>
    <mergeCell ref="K23:L23"/>
    <mergeCell ref="M23:N23"/>
    <mergeCell ref="K24:L24"/>
    <mergeCell ref="M24:N24"/>
    <mergeCell ref="K55:L55"/>
    <mergeCell ref="M55:N55"/>
    <mergeCell ref="K52:L52"/>
    <mergeCell ref="M52:N52"/>
    <mergeCell ref="K53:L53"/>
    <mergeCell ref="M53:N53"/>
    <mergeCell ref="K48:L49"/>
    <mergeCell ref="M48:N49"/>
    <mergeCell ref="K50:L51"/>
    <mergeCell ref="M50:N51"/>
    <mergeCell ref="K25:L26"/>
    <mergeCell ref="M25:N26"/>
    <mergeCell ref="M12:N12"/>
    <mergeCell ref="O13:O14"/>
    <mergeCell ref="P13:P14"/>
    <mergeCell ref="O17:O18"/>
    <mergeCell ref="O19:O20"/>
    <mergeCell ref="O21:O22"/>
    <mergeCell ref="O31:O32"/>
    <mergeCell ref="O37:O38"/>
    <mergeCell ref="K54:L54"/>
    <mergeCell ref="M54:N54"/>
    <mergeCell ref="K44:L45"/>
    <mergeCell ref="M44:N45"/>
    <mergeCell ref="K46:L47"/>
    <mergeCell ref="M46:N47"/>
    <mergeCell ref="K41:L42"/>
    <mergeCell ref="M41:N42"/>
    <mergeCell ref="K43:L43"/>
    <mergeCell ref="M43:N43"/>
    <mergeCell ref="O41:O42"/>
    <mergeCell ref="K39:L39"/>
    <mergeCell ref="M39:N39"/>
    <mergeCell ref="K40:L40"/>
    <mergeCell ref="M40:N40"/>
    <mergeCell ref="K34:L34"/>
    <mergeCell ref="B58:F58"/>
    <mergeCell ref="G58:H58"/>
    <mergeCell ref="K58:L58"/>
    <mergeCell ref="M58:N58"/>
    <mergeCell ref="P44:P45"/>
    <mergeCell ref="P46:P47"/>
    <mergeCell ref="P48:P49"/>
    <mergeCell ref="P50:P51"/>
    <mergeCell ref="K12:L12"/>
    <mergeCell ref="A56:F56"/>
    <mergeCell ref="G56:H56"/>
    <mergeCell ref="K56:L56"/>
    <mergeCell ref="M56:N56"/>
    <mergeCell ref="O44:O45"/>
    <mergeCell ref="O46:O47"/>
    <mergeCell ref="O48:O49"/>
    <mergeCell ref="O50:O51"/>
    <mergeCell ref="P17:P18"/>
    <mergeCell ref="P19:P20"/>
    <mergeCell ref="P21:P22"/>
    <mergeCell ref="P31:P32"/>
    <mergeCell ref="P37:P38"/>
    <mergeCell ref="P41:P42"/>
    <mergeCell ref="G16:H16"/>
    <mergeCell ref="A123:F123"/>
    <mergeCell ref="G123:H123"/>
    <mergeCell ref="K123:L123"/>
    <mergeCell ref="M123:N123"/>
    <mergeCell ref="G59:H59"/>
    <mergeCell ref="G60:H60"/>
    <mergeCell ref="K60:L60"/>
    <mergeCell ref="M60:N60"/>
    <mergeCell ref="B91:F92"/>
    <mergeCell ref="G61:H61"/>
    <mergeCell ref="K61:L61"/>
    <mergeCell ref="M61:N61"/>
    <mergeCell ref="G62:H62"/>
    <mergeCell ref="K62:L62"/>
    <mergeCell ref="M62:N62"/>
    <mergeCell ref="G63:H63"/>
    <mergeCell ref="K63:L63"/>
    <mergeCell ref="M63:N63"/>
    <mergeCell ref="G64:H64"/>
    <mergeCell ref="K64:L64"/>
    <mergeCell ref="M64:N64"/>
    <mergeCell ref="B110:F110"/>
    <mergeCell ref="G68:H68"/>
    <mergeCell ref="K68:L68"/>
    <mergeCell ref="M68:N68"/>
    <mergeCell ref="G69:H69"/>
    <mergeCell ref="K69:L69"/>
    <mergeCell ref="M69:N69"/>
    <mergeCell ref="G65:H65"/>
    <mergeCell ref="K65:L65"/>
    <mergeCell ref="M65:N65"/>
    <mergeCell ref="G67:H67"/>
    <mergeCell ref="K67:L67"/>
    <mergeCell ref="M67:N67"/>
    <mergeCell ref="G66:H66"/>
    <mergeCell ref="I66:J66"/>
    <mergeCell ref="K66:L66"/>
    <mergeCell ref="M66:N66"/>
    <mergeCell ref="G73:H73"/>
    <mergeCell ref="K73:L73"/>
    <mergeCell ref="M73:N73"/>
    <mergeCell ref="G74:H74"/>
    <mergeCell ref="K74:L74"/>
    <mergeCell ref="M74:N74"/>
    <mergeCell ref="G70:H70"/>
    <mergeCell ref="K70:L70"/>
    <mergeCell ref="M70:N70"/>
    <mergeCell ref="G71:H71"/>
    <mergeCell ref="K71:L71"/>
    <mergeCell ref="M71:N71"/>
    <mergeCell ref="I72:J72"/>
    <mergeCell ref="I73:J73"/>
    <mergeCell ref="I74:J74"/>
    <mergeCell ref="G77:H77"/>
    <mergeCell ref="K77:L77"/>
    <mergeCell ref="M77:N77"/>
    <mergeCell ref="G78:H78"/>
    <mergeCell ref="K78:L78"/>
    <mergeCell ref="M78:N78"/>
    <mergeCell ref="G75:H75"/>
    <mergeCell ref="K75:L75"/>
    <mergeCell ref="M75:N75"/>
    <mergeCell ref="G76:H76"/>
    <mergeCell ref="K76:L76"/>
    <mergeCell ref="M76:N76"/>
    <mergeCell ref="I75:J75"/>
    <mergeCell ref="I76:J76"/>
    <mergeCell ref="I77:J77"/>
    <mergeCell ref="I78:J78"/>
    <mergeCell ref="G81:H81"/>
    <mergeCell ref="K81:L81"/>
    <mergeCell ref="M81:N81"/>
    <mergeCell ref="G82:H82"/>
    <mergeCell ref="K82:L82"/>
    <mergeCell ref="M82:N82"/>
    <mergeCell ref="G79:H79"/>
    <mergeCell ref="K79:L79"/>
    <mergeCell ref="M79:N79"/>
    <mergeCell ref="G80:H80"/>
    <mergeCell ref="K80:L80"/>
    <mergeCell ref="M80:N80"/>
    <mergeCell ref="I79:J79"/>
    <mergeCell ref="I80:J80"/>
    <mergeCell ref="I81:J81"/>
    <mergeCell ref="I82:J82"/>
    <mergeCell ref="G86:H86"/>
    <mergeCell ref="K86:L86"/>
    <mergeCell ref="M86:N86"/>
    <mergeCell ref="G87:H87"/>
    <mergeCell ref="K87:L87"/>
    <mergeCell ref="M87:N87"/>
    <mergeCell ref="G84:H84"/>
    <mergeCell ref="K84:L84"/>
    <mergeCell ref="M84:N84"/>
    <mergeCell ref="G85:H85"/>
    <mergeCell ref="K85:L85"/>
    <mergeCell ref="M85:N85"/>
    <mergeCell ref="G90:H90"/>
    <mergeCell ref="K90:L90"/>
    <mergeCell ref="M90:N90"/>
    <mergeCell ref="G88:H88"/>
    <mergeCell ref="K88:L88"/>
    <mergeCell ref="M88:N88"/>
    <mergeCell ref="G89:H89"/>
    <mergeCell ref="K89:L89"/>
    <mergeCell ref="M89:N89"/>
    <mergeCell ref="G94:H94"/>
    <mergeCell ref="K94:L94"/>
    <mergeCell ref="M94:N94"/>
    <mergeCell ref="G95:H95"/>
    <mergeCell ref="K95:L95"/>
    <mergeCell ref="M95:N95"/>
    <mergeCell ref="G93:H93"/>
    <mergeCell ref="K93:L93"/>
    <mergeCell ref="M93:N93"/>
    <mergeCell ref="I93:J93"/>
    <mergeCell ref="I94:J94"/>
    <mergeCell ref="I95:J95"/>
    <mergeCell ref="G98:H98"/>
    <mergeCell ref="K98:L98"/>
    <mergeCell ref="M98:N98"/>
    <mergeCell ref="G99:H99"/>
    <mergeCell ref="K99:L99"/>
    <mergeCell ref="M99:N99"/>
    <mergeCell ref="G96:H96"/>
    <mergeCell ref="K96:L96"/>
    <mergeCell ref="M96:N96"/>
    <mergeCell ref="G97:H97"/>
    <mergeCell ref="K97:L97"/>
    <mergeCell ref="M97:N97"/>
    <mergeCell ref="I96:J96"/>
    <mergeCell ref="I97:J97"/>
    <mergeCell ref="I98:J98"/>
    <mergeCell ref="I99:J99"/>
    <mergeCell ref="G100:H100"/>
    <mergeCell ref="K100:L100"/>
    <mergeCell ref="M100:N100"/>
    <mergeCell ref="G101:H101"/>
    <mergeCell ref="K101:L101"/>
    <mergeCell ref="M101:N101"/>
    <mergeCell ref="G104:H104"/>
    <mergeCell ref="K104:L104"/>
    <mergeCell ref="M104:N104"/>
    <mergeCell ref="I100:J100"/>
    <mergeCell ref="I101:J101"/>
    <mergeCell ref="I102:J103"/>
    <mergeCell ref="A6:P6"/>
    <mergeCell ref="M83:N83"/>
    <mergeCell ref="G91:H92"/>
    <mergeCell ref="K91:L92"/>
    <mergeCell ref="M91:N92"/>
    <mergeCell ref="O91:O92"/>
    <mergeCell ref="P91:P92"/>
    <mergeCell ref="G119:H119"/>
    <mergeCell ref="K119:L119"/>
    <mergeCell ref="M119:N119"/>
    <mergeCell ref="K59:L59"/>
    <mergeCell ref="M59:N59"/>
    <mergeCell ref="G72:H72"/>
    <mergeCell ref="K72:L72"/>
    <mergeCell ref="M72:N72"/>
    <mergeCell ref="G83:H83"/>
    <mergeCell ref="K83:L83"/>
    <mergeCell ref="G117:H117"/>
    <mergeCell ref="K117:L117"/>
    <mergeCell ref="M117:N117"/>
    <mergeCell ref="G118:H118"/>
    <mergeCell ref="K118:L118"/>
    <mergeCell ref="M118:N118"/>
    <mergeCell ref="G116:H116"/>
    <mergeCell ref="O25:O26"/>
    <mergeCell ref="P25:P26"/>
    <mergeCell ref="B29:F30"/>
    <mergeCell ref="G29:H30"/>
    <mergeCell ref="K29:L30"/>
    <mergeCell ref="M29:N30"/>
    <mergeCell ref="B35:F36"/>
    <mergeCell ref="G35:H36"/>
    <mergeCell ref="K35:L36"/>
    <mergeCell ref="M35:N36"/>
    <mergeCell ref="B27:F28"/>
    <mergeCell ref="G27:H28"/>
    <mergeCell ref="K27:L28"/>
    <mergeCell ref="M27:N28"/>
    <mergeCell ref="O27:O28"/>
    <mergeCell ref="O29:O30"/>
    <mergeCell ref="P27:P28"/>
    <mergeCell ref="P29:P30"/>
    <mergeCell ref="K31:L32"/>
    <mergeCell ref="M31:N32"/>
    <mergeCell ref="K33:L33"/>
    <mergeCell ref="M33:N33"/>
    <mergeCell ref="O35:O36"/>
    <mergeCell ref="P35:P36"/>
    <mergeCell ref="B102:F103"/>
    <mergeCell ref="G102:H103"/>
    <mergeCell ref="K102:L103"/>
    <mergeCell ref="M102:N103"/>
    <mergeCell ref="I104:J104"/>
    <mergeCell ref="I105:J105"/>
    <mergeCell ref="I106:J106"/>
    <mergeCell ref="I107:J107"/>
    <mergeCell ref="I108:J108"/>
    <mergeCell ref="G105:H105"/>
    <mergeCell ref="K105:L105"/>
    <mergeCell ref="M105:N105"/>
    <mergeCell ref="G106:H106"/>
    <mergeCell ref="K106:L106"/>
    <mergeCell ref="M106:N106"/>
    <mergeCell ref="G122:H122"/>
    <mergeCell ref="I122:J122"/>
    <mergeCell ref="K122:L122"/>
    <mergeCell ref="M122:N122"/>
    <mergeCell ref="O102:O103"/>
    <mergeCell ref="P102:P103"/>
    <mergeCell ref="G107:H107"/>
    <mergeCell ref="K107:L107"/>
    <mergeCell ref="M107:N107"/>
    <mergeCell ref="G108:H108"/>
    <mergeCell ref="K108:L108"/>
    <mergeCell ref="M108:N108"/>
    <mergeCell ref="K116:L116"/>
    <mergeCell ref="M116:N116"/>
    <mergeCell ref="G115:H115"/>
    <mergeCell ref="K115:L115"/>
    <mergeCell ref="M115:N115"/>
    <mergeCell ref="G113:H113"/>
    <mergeCell ref="K113:L113"/>
    <mergeCell ref="M113:N113"/>
    <mergeCell ref="G114:H114"/>
    <mergeCell ref="K114:L114"/>
    <mergeCell ref="M114:N114"/>
    <mergeCell ref="G112:H112"/>
    <mergeCell ref="G109:H109"/>
    <mergeCell ref="I109:J109"/>
    <mergeCell ref="K109:L109"/>
    <mergeCell ref="M109:N109"/>
    <mergeCell ref="G120:H120"/>
    <mergeCell ref="I120:J120"/>
    <mergeCell ref="K120:L120"/>
    <mergeCell ref="M120:N120"/>
    <mergeCell ref="G121:H121"/>
    <mergeCell ref="I121:J121"/>
    <mergeCell ref="K121:L121"/>
    <mergeCell ref="M121:N121"/>
    <mergeCell ref="K112:L112"/>
    <mergeCell ref="M112:N112"/>
    <mergeCell ref="G110:H110"/>
    <mergeCell ref="K110:L110"/>
    <mergeCell ref="M110:N110"/>
    <mergeCell ref="G111:H111"/>
    <mergeCell ref="K111:L111"/>
    <mergeCell ref="M111:N111"/>
  </mergeCells>
  <pageMargins left="0.7" right="0.7" top="0.75" bottom="0.75" header="0.3" footer="0.3"/>
  <pageSetup paperSize="9" scale="59" orientation="portrait" r:id="rId2"/>
  <rowBreaks count="1" manualBreakCount="1">
    <brk id="57" max="16383" man="1"/>
  </rowBreaks>
  <ignoredErrors>
    <ignoredError sqref="K62:L62 I62:J62 G61 G63 I61 G105 K61" formula="1"/>
    <ignoredError sqref="O70:P105 O18:O35 O17 P18:P35 O15:P16 P12:P14 P17 O37:O55 P37:P56 P123 O58:P58 O110:P115 O106:P108 O109:P109 O116:P116 O117:P122 O61:O66 O60 P68 P69 P6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opLeftCell="A19" zoomScaleNormal="100" workbookViewId="0">
      <selection activeCell="A2" sqref="A2"/>
    </sheetView>
  </sheetViews>
  <sheetFormatPr defaultRowHeight="15" x14ac:dyDescent="0.25"/>
  <cols>
    <col min="1" max="14" width="8.85546875" customWidth="1"/>
    <col min="16" max="16" width="12.7109375" bestFit="1" customWidth="1"/>
    <col min="18" max="18" width="10.140625" bestFit="1" customWidth="1"/>
  </cols>
  <sheetData>
    <row r="1" spans="1:18" x14ac:dyDescent="0.25">
      <c r="A1" s="1" t="s">
        <v>19</v>
      </c>
    </row>
    <row r="2" spans="1:18" x14ac:dyDescent="0.25">
      <c r="A2" t="s">
        <v>17</v>
      </c>
    </row>
    <row r="3" spans="1:18" x14ac:dyDescent="0.25">
      <c r="A3" t="s">
        <v>18</v>
      </c>
    </row>
    <row r="5" spans="1:18" x14ac:dyDescent="0.25">
      <c r="A5" s="132" t="s">
        <v>0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1:18" x14ac:dyDescent="0.25">
      <c r="A6" s="132" t="s">
        <v>210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01"/>
      <c r="P6" s="101"/>
    </row>
    <row r="7" spans="1:18" x14ac:dyDescent="0.25">
      <c r="A7" s="132" t="s">
        <v>212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</row>
    <row r="8" spans="1:18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</row>
    <row r="9" spans="1:18" ht="15.75" thickBot="1" x14ac:dyDescent="0.3">
      <c r="A9" s="1" t="s">
        <v>151</v>
      </c>
    </row>
    <row r="10" spans="1:18" ht="15" customHeight="1" x14ac:dyDescent="0.25">
      <c r="A10" s="291" t="s">
        <v>199</v>
      </c>
      <c r="B10" s="292"/>
      <c r="C10" s="292"/>
      <c r="D10" s="292"/>
      <c r="E10" s="268" t="s">
        <v>47</v>
      </c>
      <c r="F10" s="269"/>
      <c r="G10" s="268" t="s">
        <v>194</v>
      </c>
      <c r="H10" s="269"/>
      <c r="I10" s="268" t="s">
        <v>177</v>
      </c>
      <c r="J10" s="269"/>
      <c r="K10" s="191" t="s">
        <v>178</v>
      </c>
      <c r="L10" s="191"/>
      <c r="M10" s="25" t="s">
        <v>48</v>
      </c>
      <c r="N10" s="25" t="s">
        <v>48</v>
      </c>
    </row>
    <row r="11" spans="1:18" x14ac:dyDescent="0.25">
      <c r="A11" s="36" t="s">
        <v>152</v>
      </c>
      <c r="B11" s="293" t="s">
        <v>153</v>
      </c>
      <c r="C11" s="293"/>
      <c r="D11" s="293"/>
      <c r="E11" s="270"/>
      <c r="F11" s="271"/>
      <c r="G11" s="270"/>
      <c r="H11" s="271"/>
      <c r="I11" s="270"/>
      <c r="J11" s="271"/>
      <c r="K11" s="192"/>
      <c r="L11" s="192"/>
      <c r="M11" s="28" t="s">
        <v>170</v>
      </c>
      <c r="N11" s="26" t="s">
        <v>174</v>
      </c>
    </row>
    <row r="12" spans="1:18" ht="15.75" thickBot="1" x14ac:dyDescent="0.3">
      <c r="A12" s="266">
        <v>1</v>
      </c>
      <c r="B12" s="267"/>
      <c r="C12" s="267"/>
      <c r="D12" s="267"/>
      <c r="E12" s="266">
        <v>2</v>
      </c>
      <c r="F12" s="267"/>
      <c r="G12" s="266">
        <v>3</v>
      </c>
      <c r="H12" s="267"/>
      <c r="I12" s="266">
        <v>4</v>
      </c>
      <c r="J12" s="267"/>
      <c r="K12" s="266">
        <v>5</v>
      </c>
      <c r="L12" s="267"/>
      <c r="M12" s="27">
        <v>6</v>
      </c>
      <c r="N12" s="27">
        <v>7</v>
      </c>
    </row>
    <row r="13" spans="1:18" x14ac:dyDescent="0.25">
      <c r="A13" s="106">
        <v>1</v>
      </c>
      <c r="B13" s="107" t="s">
        <v>141</v>
      </c>
      <c r="C13" s="107"/>
      <c r="D13" s="107"/>
      <c r="E13" s="294">
        <f>E14+E15+E16</f>
        <v>41794.319463799853</v>
      </c>
      <c r="F13" s="295"/>
      <c r="G13" s="294">
        <f t="shared" ref="G13" si="0">G14+G15+G16</f>
        <v>0</v>
      </c>
      <c r="H13" s="295"/>
      <c r="I13" s="294">
        <f t="shared" ref="I13" si="1">I14+I15+I16</f>
        <v>26518.170000000002</v>
      </c>
      <c r="J13" s="295"/>
      <c r="K13" s="294">
        <f t="shared" ref="K13" si="2">K14+K15+K16</f>
        <v>20106.560000000001</v>
      </c>
      <c r="L13" s="295"/>
      <c r="M13" s="50">
        <f>K13/E13*100</f>
        <v>48.108356010953344</v>
      </c>
      <c r="N13" s="50">
        <f>K13/I13*100</f>
        <v>75.821823300778306</v>
      </c>
    </row>
    <row r="14" spans="1:18" x14ac:dyDescent="0.25">
      <c r="A14" s="12">
        <v>11</v>
      </c>
      <c r="B14" s="4" t="s">
        <v>141</v>
      </c>
      <c r="C14" s="4"/>
      <c r="D14" s="4"/>
      <c r="E14" s="156">
        <f>133677.39/7.5345</f>
        <v>17742.038622337248</v>
      </c>
      <c r="F14" s="157"/>
      <c r="G14" s="156"/>
      <c r="H14" s="157"/>
      <c r="I14" s="156">
        <v>19576.7</v>
      </c>
      <c r="J14" s="157"/>
      <c r="K14" s="156">
        <v>19805.97</v>
      </c>
      <c r="L14" s="157"/>
      <c r="M14" s="51">
        <f>K14/E14*100</f>
        <v>111.63300013936539</v>
      </c>
      <c r="N14" s="51">
        <f>K14/I14*100</f>
        <v>101.17113711708305</v>
      </c>
      <c r="P14" s="35"/>
      <c r="Q14" s="35"/>
      <c r="R14" s="35"/>
    </row>
    <row r="15" spans="1:18" x14ac:dyDescent="0.25">
      <c r="A15" s="12">
        <v>12</v>
      </c>
      <c r="B15" s="4" t="s">
        <v>142</v>
      </c>
      <c r="C15" s="4"/>
      <c r="D15" s="4"/>
      <c r="E15" s="156">
        <f>157368.53/7.5345</f>
        <v>20886.393257681331</v>
      </c>
      <c r="F15" s="157"/>
      <c r="G15" s="156"/>
      <c r="H15" s="157"/>
      <c r="I15" s="156">
        <v>300.58999999999997</v>
      </c>
      <c r="J15" s="157"/>
      <c r="K15" s="156">
        <v>300.58999999999997</v>
      </c>
      <c r="L15" s="157"/>
      <c r="M15" s="51">
        <f>K15/E15*100</f>
        <v>1.4391666205435103</v>
      </c>
      <c r="N15" s="51">
        <f>K15/I15*100</f>
        <v>100</v>
      </c>
      <c r="P15" s="35"/>
      <c r="Q15" s="35"/>
      <c r="R15" s="35"/>
    </row>
    <row r="16" spans="1:18" x14ac:dyDescent="0.25">
      <c r="A16" s="12">
        <v>19</v>
      </c>
      <c r="B16" s="4" t="s">
        <v>143</v>
      </c>
      <c r="C16" s="4"/>
      <c r="D16" s="4"/>
      <c r="E16" s="156">
        <f>23853.38/7.5345</f>
        <v>3165.887583781273</v>
      </c>
      <c r="F16" s="157"/>
      <c r="G16" s="156"/>
      <c r="H16" s="157"/>
      <c r="I16" s="156">
        <v>6640.88</v>
      </c>
      <c r="J16" s="157"/>
      <c r="K16" s="156">
        <v>0</v>
      </c>
      <c r="L16" s="157"/>
      <c r="M16" s="51">
        <f t="shared" ref="M16:M26" si="3">K16/E16*100</f>
        <v>0</v>
      </c>
      <c r="N16" s="51">
        <f>K16/I16*100</f>
        <v>0</v>
      </c>
      <c r="P16" s="35"/>
      <c r="Q16" s="35"/>
      <c r="R16" s="35"/>
    </row>
    <row r="17" spans="1:18" x14ac:dyDescent="0.25">
      <c r="A17" s="21">
        <v>3</v>
      </c>
      <c r="B17" s="5" t="s">
        <v>219</v>
      </c>
      <c r="C17" s="5"/>
      <c r="D17" s="5"/>
      <c r="E17" s="289">
        <f>E18</f>
        <v>4239.1665007631564</v>
      </c>
      <c r="F17" s="290"/>
      <c r="G17" s="289">
        <f t="shared" ref="G17" si="4">G18</f>
        <v>3000</v>
      </c>
      <c r="H17" s="290"/>
      <c r="I17" s="289">
        <f t="shared" ref="I17" si="5">I18</f>
        <v>8080</v>
      </c>
      <c r="J17" s="290"/>
      <c r="K17" s="289">
        <f t="shared" ref="K17" si="6">K18</f>
        <v>6431.45</v>
      </c>
      <c r="L17" s="290"/>
      <c r="M17" s="50">
        <f t="shared" ref="M17" si="7">K17/E17*100</f>
        <v>151.71496563869755</v>
      </c>
      <c r="N17" s="50">
        <f t="shared" ref="N17" si="8">K17/I17*100</f>
        <v>79.597153465346537</v>
      </c>
      <c r="P17" s="35"/>
      <c r="Q17" s="35"/>
      <c r="R17" s="35"/>
    </row>
    <row r="18" spans="1:18" x14ac:dyDescent="0.25">
      <c r="A18" s="12">
        <v>31</v>
      </c>
      <c r="B18" s="4" t="s">
        <v>144</v>
      </c>
      <c r="C18" s="4"/>
      <c r="D18" s="4"/>
      <c r="E18" s="156">
        <f>31940/7.5345</f>
        <v>4239.1665007631564</v>
      </c>
      <c r="F18" s="157"/>
      <c r="G18" s="156">
        <v>3000</v>
      </c>
      <c r="H18" s="157"/>
      <c r="I18" s="156">
        <v>8080</v>
      </c>
      <c r="J18" s="157"/>
      <c r="K18" s="156">
        <v>6431.45</v>
      </c>
      <c r="L18" s="157"/>
      <c r="M18" s="51">
        <f t="shared" si="3"/>
        <v>151.71496563869755</v>
      </c>
      <c r="N18" s="51">
        <f t="shared" ref="N18:N29" si="9">K18/I18*100</f>
        <v>79.597153465346537</v>
      </c>
      <c r="P18" s="35"/>
    </row>
    <row r="19" spans="1:18" x14ac:dyDescent="0.25">
      <c r="A19" s="21">
        <v>4</v>
      </c>
      <c r="B19" s="5" t="s">
        <v>139</v>
      </c>
      <c r="C19" s="5"/>
      <c r="D19" s="5"/>
      <c r="E19" s="289">
        <f>E20+E21+E22</f>
        <v>163475.44097153094</v>
      </c>
      <c r="F19" s="290"/>
      <c r="G19" s="289">
        <f t="shared" ref="G19" si="10">G20+G21+G22</f>
        <v>222053.38</v>
      </c>
      <c r="H19" s="290"/>
      <c r="I19" s="289">
        <f t="shared" ref="I19" si="11">I20+I21+I22</f>
        <v>362134.32</v>
      </c>
      <c r="J19" s="290"/>
      <c r="K19" s="289">
        <f t="shared" ref="K19" si="12">K20+K21+K22</f>
        <v>357290.7</v>
      </c>
      <c r="L19" s="290"/>
      <c r="M19" s="50">
        <f t="shared" ref="M19" si="13">K19/E19*100</f>
        <v>218.55925139374409</v>
      </c>
      <c r="N19" s="50">
        <f t="shared" ref="N19" si="14">K19/I19*100</f>
        <v>98.662479711947768</v>
      </c>
      <c r="P19" s="35"/>
    </row>
    <row r="20" spans="1:18" x14ac:dyDescent="0.25">
      <c r="A20" s="12">
        <v>41</v>
      </c>
      <c r="B20" s="4" t="s">
        <v>139</v>
      </c>
      <c r="C20" s="4"/>
      <c r="D20" s="4"/>
      <c r="E20" s="156">
        <f>11674.44/7.5345</f>
        <v>1549.4644634680469</v>
      </c>
      <c r="F20" s="157"/>
      <c r="G20" s="156">
        <v>600</v>
      </c>
      <c r="H20" s="157"/>
      <c r="I20" s="156">
        <v>600</v>
      </c>
      <c r="J20" s="157"/>
      <c r="K20" s="156">
        <v>1368.97</v>
      </c>
      <c r="L20" s="157"/>
      <c r="M20" s="51">
        <f t="shared" si="3"/>
        <v>88.351171148252078</v>
      </c>
      <c r="N20" s="51">
        <f t="shared" si="9"/>
        <v>228.16166666666669</v>
      </c>
      <c r="P20" s="35"/>
      <c r="Q20" s="35"/>
      <c r="R20" s="35"/>
    </row>
    <row r="21" spans="1:18" x14ac:dyDescent="0.25">
      <c r="A21" s="12">
        <v>42</v>
      </c>
      <c r="B21" s="4" t="s">
        <v>145</v>
      </c>
      <c r="C21" s="4"/>
      <c r="D21" s="4"/>
      <c r="E21" s="156">
        <f>103547.03/7.5345</f>
        <v>13743.052624593536</v>
      </c>
      <c r="F21" s="157"/>
      <c r="G21" s="156">
        <v>30664.7</v>
      </c>
      <c r="H21" s="157"/>
      <c r="I21" s="156">
        <v>30664.7</v>
      </c>
      <c r="J21" s="157"/>
      <c r="K21" s="156">
        <v>30664.7</v>
      </c>
      <c r="L21" s="157"/>
      <c r="M21" s="51">
        <f t="shared" si="3"/>
        <v>223.12873884456175</v>
      </c>
      <c r="N21" s="51">
        <f t="shared" si="9"/>
        <v>100</v>
      </c>
      <c r="P21" s="35"/>
      <c r="Q21" s="35"/>
      <c r="R21" s="35"/>
    </row>
    <row r="22" spans="1:18" x14ac:dyDescent="0.25">
      <c r="A22" s="12">
        <v>45</v>
      </c>
      <c r="B22" s="4" t="s">
        <v>146</v>
      </c>
      <c r="C22" s="4"/>
      <c r="D22" s="4"/>
      <c r="E22" s="156">
        <f>1116484.24/7.5345</f>
        <v>148182.92388346937</v>
      </c>
      <c r="F22" s="157"/>
      <c r="G22" s="156">
        <v>190788.68</v>
      </c>
      <c r="H22" s="157"/>
      <c r="I22" s="156">
        <v>330869.62</v>
      </c>
      <c r="J22" s="157"/>
      <c r="K22" s="156">
        <v>325257.03000000003</v>
      </c>
      <c r="L22" s="157"/>
      <c r="M22" s="51">
        <f t="shared" si="3"/>
        <v>219.4969713620857</v>
      </c>
      <c r="N22" s="51">
        <f t="shared" si="9"/>
        <v>98.303685300572482</v>
      </c>
      <c r="P22" s="35"/>
    </row>
    <row r="23" spans="1:18" x14ac:dyDescent="0.25">
      <c r="A23" s="21">
        <v>5</v>
      </c>
      <c r="B23" s="5" t="s">
        <v>220</v>
      </c>
      <c r="C23" s="5"/>
      <c r="D23" s="5"/>
      <c r="E23" s="289">
        <f>E24+E25+E26</f>
        <v>1491151.8348928266</v>
      </c>
      <c r="F23" s="290"/>
      <c r="G23" s="289">
        <f t="shared" ref="G23" si="15">G24+G25+G26</f>
        <v>1537861.4</v>
      </c>
      <c r="H23" s="290"/>
      <c r="I23" s="289">
        <f t="shared" ref="I23" si="16">I24+I25+I26</f>
        <v>1551565.44</v>
      </c>
      <c r="J23" s="290"/>
      <c r="K23" s="289">
        <f t="shared" ref="K23" si="17">K24+K25+K26</f>
        <v>1649567.66</v>
      </c>
      <c r="L23" s="290"/>
      <c r="M23" s="50">
        <f t="shared" ref="M23" si="18">K23/E23*100</f>
        <v>110.62372197118069</v>
      </c>
      <c r="N23" s="50">
        <f t="shared" ref="N23" si="19">K23/I23*100</f>
        <v>106.3163446074179</v>
      </c>
      <c r="P23" s="35"/>
    </row>
    <row r="24" spans="1:18" x14ac:dyDescent="0.25">
      <c r="A24" s="12">
        <v>51</v>
      </c>
      <c r="B24" s="4" t="s">
        <v>147</v>
      </c>
      <c r="C24" s="4"/>
      <c r="D24" s="4"/>
      <c r="E24" s="156">
        <f>(526916.39+6000+10471935.6+3389.65+3043.56)/7.5345</f>
        <v>1461448.6959984074</v>
      </c>
      <c r="F24" s="157"/>
      <c r="G24" s="156">
        <f>40161.4+1496700+1000</f>
        <v>1537861.4</v>
      </c>
      <c r="H24" s="157"/>
      <c r="I24" s="156">
        <v>1542075.06</v>
      </c>
      <c r="J24" s="157"/>
      <c r="K24" s="156">
        <f>45090.22+1427.2+1591205.22+797+1204.3+198.72+154.62</f>
        <v>1640077.28</v>
      </c>
      <c r="L24" s="157"/>
      <c r="M24" s="51">
        <f t="shared" si="3"/>
        <v>112.22270644810834</v>
      </c>
      <c r="N24" s="51">
        <f t="shared" si="9"/>
        <v>106.35521723566426</v>
      </c>
      <c r="P24" s="35"/>
      <c r="Q24" s="35"/>
      <c r="R24" s="35"/>
    </row>
    <row r="25" spans="1:18" x14ac:dyDescent="0.25">
      <c r="A25" s="12">
        <v>53</v>
      </c>
      <c r="B25" s="4" t="s">
        <v>148</v>
      </c>
      <c r="C25" s="4"/>
      <c r="D25" s="4"/>
      <c r="E25" s="156">
        <f>7500/7.5345</f>
        <v>995.4210631096953</v>
      </c>
      <c r="F25" s="157"/>
      <c r="G25" s="156"/>
      <c r="H25" s="157"/>
      <c r="I25" s="156"/>
      <c r="J25" s="157"/>
      <c r="K25" s="156"/>
      <c r="L25" s="157"/>
      <c r="M25" s="51">
        <f t="shared" si="3"/>
        <v>0</v>
      </c>
      <c r="N25" s="51" t="e">
        <f t="shared" si="9"/>
        <v>#DIV/0!</v>
      </c>
    </row>
    <row r="26" spans="1:18" x14ac:dyDescent="0.25">
      <c r="A26" s="12">
        <v>54</v>
      </c>
      <c r="B26" s="4" t="s">
        <v>149</v>
      </c>
      <c r="C26" s="4"/>
      <c r="D26" s="4"/>
      <c r="E26" s="156">
        <f>(23275.03+27733.15+165290.12)/7.5345</f>
        <v>28707.717831309306</v>
      </c>
      <c r="F26" s="157"/>
      <c r="G26" s="156"/>
      <c r="H26" s="157"/>
      <c r="I26" s="156">
        <v>9490.3799999999992</v>
      </c>
      <c r="J26" s="157"/>
      <c r="K26" s="156">
        <v>9490.3799999999992</v>
      </c>
      <c r="L26" s="157"/>
      <c r="M26" s="51">
        <f t="shared" si="3"/>
        <v>33.058636202873529</v>
      </c>
      <c r="N26" s="51">
        <f t="shared" si="9"/>
        <v>100</v>
      </c>
      <c r="P26" s="35"/>
      <c r="Q26" s="35"/>
    </row>
    <row r="27" spans="1:18" x14ac:dyDescent="0.25">
      <c r="A27" s="10">
        <v>6</v>
      </c>
      <c r="B27" s="109" t="s">
        <v>221</v>
      </c>
      <c r="C27" s="109"/>
      <c r="D27" s="109"/>
      <c r="E27" s="289">
        <f>E28</f>
        <v>10403.916650076315</v>
      </c>
      <c r="F27" s="290"/>
      <c r="G27" s="289">
        <f t="shared" ref="G27" si="20">G28</f>
        <v>4000</v>
      </c>
      <c r="H27" s="290"/>
      <c r="I27" s="289">
        <f t="shared" ref="I27" si="21">I28</f>
        <v>4000</v>
      </c>
      <c r="J27" s="290"/>
      <c r="K27" s="289">
        <f t="shared" ref="K27" si="22">K28</f>
        <v>9986.5499999999993</v>
      </c>
      <c r="L27" s="290"/>
      <c r="M27" s="50">
        <f>K27/E27*100</f>
        <v>95.988369917657366</v>
      </c>
      <c r="N27" s="50">
        <f t="shared" ref="N27" si="23">K27/I27*100</f>
        <v>249.66374999999999</v>
      </c>
      <c r="P27" s="35"/>
      <c r="Q27" s="35"/>
    </row>
    <row r="28" spans="1:18" ht="15.75" thickBot="1" x14ac:dyDescent="0.3">
      <c r="A28" s="37">
        <v>61</v>
      </c>
      <c r="B28" s="38" t="s">
        <v>150</v>
      </c>
      <c r="C28" s="38"/>
      <c r="D28" s="38"/>
      <c r="E28" s="156">
        <f>(73292.8+5095.51)/7.5345</f>
        <v>10403.916650076315</v>
      </c>
      <c r="F28" s="157"/>
      <c r="G28" s="296">
        <v>4000</v>
      </c>
      <c r="H28" s="297"/>
      <c r="I28" s="296">
        <v>4000</v>
      </c>
      <c r="J28" s="297"/>
      <c r="K28" s="156">
        <f>4630.39+5356.16</f>
        <v>9986.5499999999993</v>
      </c>
      <c r="L28" s="157"/>
      <c r="M28" s="51">
        <f>K28/E28*100</f>
        <v>95.988369917657366</v>
      </c>
      <c r="N28" s="51">
        <f t="shared" si="9"/>
        <v>249.66374999999999</v>
      </c>
      <c r="P28" s="35"/>
    </row>
    <row r="29" spans="1:18" ht="15.75" thickBot="1" x14ac:dyDescent="0.3">
      <c r="A29" s="298" t="s">
        <v>140</v>
      </c>
      <c r="B29" s="298"/>
      <c r="C29" s="298"/>
      <c r="D29" s="298"/>
      <c r="E29" s="301">
        <f>SUM(E13+E17+E19+E23+E27)</f>
        <v>1711064.678478997</v>
      </c>
      <c r="F29" s="302"/>
      <c r="G29" s="301">
        <f t="shared" ref="G29" si="24">SUM(G13+G17+G19+G23+G27)</f>
        <v>1766914.7799999998</v>
      </c>
      <c r="H29" s="302"/>
      <c r="I29" s="301">
        <f t="shared" ref="I29" si="25">SUM(I13+I17+I19+I23+I27)</f>
        <v>1952297.93</v>
      </c>
      <c r="J29" s="302"/>
      <c r="K29" s="301">
        <f t="shared" ref="K29" si="26">SUM(K13+K17+K19+K23+K27)</f>
        <v>2043382.92</v>
      </c>
      <c r="L29" s="302"/>
      <c r="M29" s="59">
        <f>K29/E29*100</f>
        <v>119.42172296002323</v>
      </c>
      <c r="N29" s="59">
        <f t="shared" si="9"/>
        <v>104.66552715138104</v>
      </c>
    </row>
    <row r="30" spans="1:18" x14ac:dyDescent="0.25">
      <c r="P30" s="35"/>
    </row>
    <row r="31" spans="1:18" ht="15.75" thickBot="1" x14ac:dyDescent="0.3">
      <c r="A31" s="1" t="s">
        <v>223</v>
      </c>
      <c r="Q31" s="35"/>
      <c r="R31" s="35"/>
    </row>
    <row r="32" spans="1:18" ht="15" customHeight="1" x14ac:dyDescent="0.25">
      <c r="A32" s="291" t="s">
        <v>199</v>
      </c>
      <c r="B32" s="292"/>
      <c r="C32" s="292"/>
      <c r="D32" s="292"/>
      <c r="E32" s="268" t="s">
        <v>47</v>
      </c>
      <c r="F32" s="269"/>
      <c r="G32" s="268" t="s">
        <v>194</v>
      </c>
      <c r="H32" s="269"/>
      <c r="I32" s="268" t="s">
        <v>177</v>
      </c>
      <c r="J32" s="269"/>
      <c r="K32" s="191" t="s">
        <v>178</v>
      </c>
      <c r="L32" s="191"/>
      <c r="M32" s="25" t="s">
        <v>48</v>
      </c>
      <c r="N32" s="25" t="s">
        <v>48</v>
      </c>
    </row>
    <row r="33" spans="1:16" x14ac:dyDescent="0.25">
      <c r="A33" s="36" t="s">
        <v>152</v>
      </c>
      <c r="B33" s="293" t="s">
        <v>153</v>
      </c>
      <c r="C33" s="293"/>
      <c r="D33" s="293"/>
      <c r="E33" s="270"/>
      <c r="F33" s="271"/>
      <c r="G33" s="270"/>
      <c r="H33" s="271"/>
      <c r="I33" s="270"/>
      <c r="J33" s="271"/>
      <c r="K33" s="192"/>
      <c r="L33" s="192"/>
      <c r="M33" s="28" t="s">
        <v>170</v>
      </c>
      <c r="N33" s="26" t="s">
        <v>171</v>
      </c>
    </row>
    <row r="34" spans="1:16" ht="15.75" thickBot="1" x14ac:dyDescent="0.3">
      <c r="A34" s="266">
        <v>1</v>
      </c>
      <c r="B34" s="267"/>
      <c r="C34" s="267"/>
      <c r="D34" s="267"/>
      <c r="E34" s="266">
        <v>2</v>
      </c>
      <c r="F34" s="267"/>
      <c r="G34" s="266">
        <v>3</v>
      </c>
      <c r="H34" s="267"/>
      <c r="I34" s="266">
        <v>4</v>
      </c>
      <c r="J34" s="267"/>
      <c r="K34" s="266">
        <v>5</v>
      </c>
      <c r="L34" s="267"/>
      <c r="M34" s="27">
        <v>6</v>
      </c>
      <c r="N34" s="27">
        <v>7</v>
      </c>
    </row>
    <row r="35" spans="1:16" x14ac:dyDescent="0.25">
      <c r="A35" s="106">
        <v>1</v>
      </c>
      <c r="B35" s="107" t="s">
        <v>141</v>
      </c>
      <c r="C35" s="107"/>
      <c r="D35" s="107"/>
      <c r="E35" s="294">
        <f>E36+E37+E38</f>
        <v>41794.319463799853</v>
      </c>
      <c r="F35" s="295"/>
      <c r="G35" s="294">
        <f t="shared" ref="G35" si="27">G36+G37+G38</f>
        <v>0</v>
      </c>
      <c r="H35" s="295"/>
      <c r="I35" s="294">
        <f t="shared" ref="I35" si="28">I36+I37+I38</f>
        <v>26518.170000000002</v>
      </c>
      <c r="J35" s="295"/>
      <c r="K35" s="294">
        <f t="shared" ref="K35" si="29">K36+K37+K38</f>
        <v>20106.560000000001</v>
      </c>
      <c r="L35" s="295"/>
      <c r="M35" s="108">
        <f>K35/E35*100</f>
        <v>48.108356010953344</v>
      </c>
      <c r="N35" s="108">
        <f>K35/I35*100</f>
        <v>75.821823300778306</v>
      </c>
    </row>
    <row r="36" spans="1:16" x14ac:dyDescent="0.25">
      <c r="A36" s="11">
        <v>11</v>
      </c>
      <c r="B36" s="42" t="s">
        <v>141</v>
      </c>
      <c r="C36" s="42"/>
      <c r="D36" s="42"/>
      <c r="E36" s="178">
        <f>133677.39/7.5345</f>
        <v>17742.038622337248</v>
      </c>
      <c r="F36" s="179"/>
      <c r="G36" s="178"/>
      <c r="H36" s="179"/>
      <c r="I36" s="178">
        <v>19576.7</v>
      </c>
      <c r="J36" s="179"/>
      <c r="K36" s="178">
        <v>19805.97</v>
      </c>
      <c r="L36" s="179"/>
      <c r="M36" s="99">
        <f>K36/E36*100</f>
        <v>111.63300013936539</v>
      </c>
      <c r="N36" s="99">
        <f>K36/I36*100</f>
        <v>101.17113711708305</v>
      </c>
    </row>
    <row r="37" spans="1:16" x14ac:dyDescent="0.25">
      <c r="A37" s="12">
        <v>12</v>
      </c>
      <c r="B37" s="4" t="s">
        <v>142</v>
      </c>
      <c r="C37" s="4"/>
      <c r="D37" s="4"/>
      <c r="E37" s="156">
        <f>157368.53/7.5345</f>
        <v>20886.393257681331</v>
      </c>
      <c r="F37" s="157"/>
      <c r="G37" s="156"/>
      <c r="H37" s="157"/>
      <c r="I37" s="156">
        <v>300.58999999999997</v>
      </c>
      <c r="J37" s="157"/>
      <c r="K37" s="156">
        <v>300.58999999999997</v>
      </c>
      <c r="L37" s="157"/>
      <c r="M37" s="51">
        <f>K37/E37*100</f>
        <v>1.4391666205435103</v>
      </c>
      <c r="N37" s="51">
        <f>K37/I37*100</f>
        <v>100</v>
      </c>
    </row>
    <row r="38" spans="1:16" x14ac:dyDescent="0.25">
      <c r="A38" s="12">
        <v>19</v>
      </c>
      <c r="B38" s="4" t="s">
        <v>143</v>
      </c>
      <c r="C38" s="4"/>
      <c r="D38" s="4"/>
      <c r="E38" s="156">
        <f>23853.38/7.5345</f>
        <v>3165.887583781273</v>
      </c>
      <c r="F38" s="157"/>
      <c r="G38" s="156"/>
      <c r="H38" s="157"/>
      <c r="I38" s="156">
        <v>6640.88</v>
      </c>
      <c r="J38" s="157"/>
      <c r="K38" s="156">
        <v>0</v>
      </c>
      <c r="L38" s="157"/>
      <c r="M38" s="51">
        <f t="shared" ref="M38:M50" si="30">K38/E38*100</f>
        <v>0</v>
      </c>
      <c r="N38" s="51">
        <f t="shared" ref="N38:N50" si="31">K38/I38*100</f>
        <v>0</v>
      </c>
    </row>
    <row r="39" spans="1:16" x14ac:dyDescent="0.25">
      <c r="A39" s="21">
        <v>3</v>
      </c>
      <c r="B39" s="5" t="s">
        <v>219</v>
      </c>
      <c r="C39" s="5"/>
      <c r="D39" s="5"/>
      <c r="E39" s="289">
        <f>E40</f>
        <v>1654.0195102528367</v>
      </c>
      <c r="F39" s="290"/>
      <c r="G39" s="289">
        <f t="shared" ref="G39" si="32">G40</f>
        <v>3000</v>
      </c>
      <c r="H39" s="290"/>
      <c r="I39" s="289">
        <f t="shared" ref="I39" si="33">I40</f>
        <v>8080</v>
      </c>
      <c r="J39" s="290"/>
      <c r="K39" s="289">
        <f t="shared" ref="K39" si="34">K40</f>
        <v>5414.77</v>
      </c>
      <c r="L39" s="290"/>
      <c r="M39" s="50">
        <f>K39/E39*100</f>
        <v>327.3703826608604</v>
      </c>
      <c r="N39" s="50">
        <f t="shared" si="31"/>
        <v>67.014480198019811</v>
      </c>
    </row>
    <row r="40" spans="1:16" x14ac:dyDescent="0.25">
      <c r="A40" s="12">
        <v>31</v>
      </c>
      <c r="B40" s="4" t="s">
        <v>144</v>
      </c>
      <c r="C40" s="4"/>
      <c r="D40" s="4"/>
      <c r="E40" s="156">
        <f>12462.21/7.5345</f>
        <v>1654.0195102528367</v>
      </c>
      <c r="F40" s="157"/>
      <c r="G40" s="156">
        <v>3000</v>
      </c>
      <c r="H40" s="157"/>
      <c r="I40" s="156">
        <v>8080</v>
      </c>
      <c r="J40" s="157"/>
      <c r="K40" s="156">
        <v>5414.77</v>
      </c>
      <c r="L40" s="157"/>
      <c r="M40" s="51">
        <f t="shared" si="30"/>
        <v>327.3703826608604</v>
      </c>
      <c r="N40" s="51">
        <f t="shared" si="31"/>
        <v>67.014480198019811</v>
      </c>
    </row>
    <row r="41" spans="1:16" x14ac:dyDescent="0.25">
      <c r="A41" s="21">
        <v>4</v>
      </c>
      <c r="B41" s="5" t="s">
        <v>139</v>
      </c>
      <c r="C41" s="5"/>
      <c r="D41" s="5"/>
      <c r="E41" s="289">
        <f>E42+E43+E44</f>
        <v>160641.92182626584</v>
      </c>
      <c r="F41" s="290"/>
      <c r="G41" s="289">
        <f t="shared" ref="G41" si="35">G42+G43+G44</f>
        <v>222053.38</v>
      </c>
      <c r="H41" s="290"/>
      <c r="I41" s="289">
        <f t="shared" ref="I41" si="36">I42+I43+I44</f>
        <v>362134.32</v>
      </c>
      <c r="J41" s="290"/>
      <c r="K41" s="289">
        <f t="shared" ref="K41" si="37">K42+K43+K44</f>
        <v>353183.7</v>
      </c>
      <c r="L41" s="290"/>
      <c r="M41" s="50">
        <f t="shared" si="30"/>
        <v>219.8577407346807</v>
      </c>
      <c r="N41" s="50">
        <f t="shared" si="31"/>
        <v>97.528370136252207</v>
      </c>
    </row>
    <row r="42" spans="1:16" x14ac:dyDescent="0.25">
      <c r="A42" s="12">
        <v>41</v>
      </c>
      <c r="B42" s="4" t="s">
        <v>139</v>
      </c>
      <c r="C42" s="4"/>
      <c r="D42" s="4"/>
      <c r="E42" s="156">
        <f>933.75/7.5345</f>
        <v>123.92992235715707</v>
      </c>
      <c r="F42" s="157"/>
      <c r="G42" s="156">
        <v>600</v>
      </c>
      <c r="H42" s="157"/>
      <c r="I42" s="156">
        <v>600</v>
      </c>
      <c r="J42" s="157"/>
      <c r="K42" s="156">
        <v>0</v>
      </c>
      <c r="L42" s="157"/>
      <c r="M42" s="51">
        <f t="shared" si="30"/>
        <v>0</v>
      </c>
      <c r="N42" s="51">
        <f t="shared" si="31"/>
        <v>0</v>
      </c>
    </row>
    <row r="43" spans="1:16" x14ac:dyDescent="0.25">
      <c r="A43" s="12">
        <v>42</v>
      </c>
      <c r="B43" s="4" t="s">
        <v>145</v>
      </c>
      <c r="C43" s="4"/>
      <c r="D43" s="4"/>
      <c r="E43" s="299">
        <f>(92938.57)/7.5345</f>
        <v>12335.068020439312</v>
      </c>
      <c r="F43" s="300"/>
      <c r="G43" s="156">
        <v>30664.7</v>
      </c>
      <c r="H43" s="157"/>
      <c r="I43" s="156">
        <v>30664.7</v>
      </c>
      <c r="J43" s="157"/>
      <c r="K43" s="299">
        <v>27926.67</v>
      </c>
      <c r="L43" s="300"/>
      <c r="M43" s="51">
        <f t="shared" si="30"/>
        <v>226.40061614354514</v>
      </c>
      <c r="N43" s="51">
        <f t="shared" si="31"/>
        <v>91.071068688100638</v>
      </c>
      <c r="P43" s="35"/>
    </row>
    <row r="44" spans="1:16" x14ac:dyDescent="0.25">
      <c r="A44" s="12">
        <v>45</v>
      </c>
      <c r="B44" s="4" t="s">
        <v>146</v>
      </c>
      <c r="C44" s="4"/>
      <c r="D44" s="4"/>
      <c r="E44" s="156">
        <f>1116484.24/7.5345</f>
        <v>148182.92388346937</v>
      </c>
      <c r="F44" s="157"/>
      <c r="G44" s="156">
        <v>190788.68</v>
      </c>
      <c r="H44" s="157"/>
      <c r="I44" s="156">
        <v>330869.62</v>
      </c>
      <c r="J44" s="157"/>
      <c r="K44" s="156">
        <v>325257.03000000003</v>
      </c>
      <c r="L44" s="157"/>
      <c r="M44" s="51">
        <f t="shared" si="30"/>
        <v>219.4969713620857</v>
      </c>
      <c r="N44" s="51">
        <f t="shared" si="31"/>
        <v>98.303685300572482</v>
      </c>
    </row>
    <row r="45" spans="1:16" x14ac:dyDescent="0.25">
      <c r="A45" s="21">
        <v>5</v>
      </c>
      <c r="B45" s="5" t="s">
        <v>220</v>
      </c>
      <c r="C45" s="5"/>
      <c r="D45" s="5"/>
      <c r="E45" s="289">
        <f>E46+E47+E48</f>
        <v>1466701.567456367</v>
      </c>
      <c r="F45" s="290"/>
      <c r="G45" s="289">
        <f t="shared" ref="G45" si="38">G46+G47+G48</f>
        <v>1537861.4</v>
      </c>
      <c r="H45" s="290"/>
      <c r="I45" s="289">
        <f t="shared" ref="I45" si="39">I46+I47+I48</f>
        <v>1551565.44</v>
      </c>
      <c r="J45" s="290"/>
      <c r="K45" s="289">
        <f t="shared" ref="K45" si="40">K46+K47+K48</f>
        <v>1649180.7799999998</v>
      </c>
      <c r="L45" s="290"/>
      <c r="M45" s="50">
        <f t="shared" si="30"/>
        <v>112.44146843451584</v>
      </c>
      <c r="N45" s="50">
        <f t="shared" si="31"/>
        <v>106.29140979061764</v>
      </c>
    </row>
    <row r="46" spans="1:16" x14ac:dyDescent="0.25">
      <c r="A46" s="12">
        <v>51</v>
      </c>
      <c r="B46" s="4" t="s">
        <v>147</v>
      </c>
      <c r="C46" s="4"/>
      <c r="D46" s="4"/>
      <c r="E46" s="156">
        <f>10961714.62/7.5345</f>
        <v>1454869.5494060651</v>
      </c>
      <c r="F46" s="157"/>
      <c r="G46" s="156">
        <f>40161.4+1496700+1000</f>
        <v>1537861.4</v>
      </c>
      <c r="H46" s="157"/>
      <c r="I46" s="156">
        <v>1542075.06</v>
      </c>
      <c r="J46" s="157"/>
      <c r="K46" s="156">
        <v>1639690.4</v>
      </c>
      <c r="L46" s="157"/>
      <c r="M46" s="51">
        <f t="shared" si="30"/>
        <v>112.7036029222954</v>
      </c>
      <c r="N46" s="51">
        <f t="shared" si="31"/>
        <v>106.33012896272376</v>
      </c>
    </row>
    <row r="47" spans="1:16" x14ac:dyDescent="0.25">
      <c r="A47" s="12">
        <v>53</v>
      </c>
      <c r="B47" s="4" t="s">
        <v>148</v>
      </c>
      <c r="C47" s="4"/>
      <c r="D47" s="4"/>
      <c r="E47" s="156">
        <f>7106.69/7.5345</f>
        <v>943.21985533213876</v>
      </c>
      <c r="F47" s="157"/>
      <c r="G47" s="156"/>
      <c r="H47" s="157"/>
      <c r="I47" s="156"/>
      <c r="J47" s="157"/>
      <c r="K47" s="156"/>
      <c r="L47" s="157"/>
      <c r="M47" s="51">
        <f t="shared" si="30"/>
        <v>0</v>
      </c>
      <c r="N47" s="51" t="e">
        <f t="shared" si="31"/>
        <v>#DIV/0!</v>
      </c>
    </row>
    <row r="48" spans="1:16" x14ac:dyDescent="0.25">
      <c r="A48" s="12">
        <v>54</v>
      </c>
      <c r="B48" s="4" t="s">
        <v>149</v>
      </c>
      <c r="C48" s="4"/>
      <c r="D48" s="4"/>
      <c r="E48" s="156">
        <f>82041.65/7.5345</f>
        <v>10888.798194969804</v>
      </c>
      <c r="F48" s="157"/>
      <c r="G48" s="156"/>
      <c r="H48" s="157"/>
      <c r="I48" s="156">
        <v>9490.3799999999992</v>
      </c>
      <c r="J48" s="157"/>
      <c r="K48" s="156">
        <v>9490.3799999999992</v>
      </c>
      <c r="L48" s="157"/>
      <c r="M48" s="51">
        <f t="shared" si="30"/>
        <v>87.157276956277698</v>
      </c>
      <c r="N48" s="51">
        <f t="shared" si="31"/>
        <v>100</v>
      </c>
    </row>
    <row r="49" spans="1:16" x14ac:dyDescent="0.25">
      <c r="A49" s="10">
        <v>6</v>
      </c>
      <c r="B49" s="109" t="s">
        <v>221</v>
      </c>
      <c r="C49" s="109"/>
      <c r="D49" s="109"/>
      <c r="E49" s="289">
        <f>E50</f>
        <v>9608.1491804366578</v>
      </c>
      <c r="F49" s="290"/>
      <c r="G49" s="289">
        <f t="shared" ref="G49" si="41">G50</f>
        <v>4000</v>
      </c>
      <c r="H49" s="290"/>
      <c r="I49" s="289">
        <f t="shared" ref="I49" si="42">I50</f>
        <v>4000</v>
      </c>
      <c r="J49" s="290"/>
      <c r="K49" s="289">
        <f t="shared" ref="K49" si="43">K50</f>
        <v>0</v>
      </c>
      <c r="L49" s="290"/>
      <c r="M49" s="50">
        <f>K49/E49*100</f>
        <v>0</v>
      </c>
      <c r="N49" s="50">
        <f t="shared" si="31"/>
        <v>0</v>
      </c>
    </row>
    <row r="50" spans="1:16" ht="15.75" thickBot="1" x14ac:dyDescent="0.3">
      <c r="A50" s="37">
        <v>61</v>
      </c>
      <c r="B50" s="38" t="s">
        <v>150</v>
      </c>
      <c r="C50" s="38"/>
      <c r="D50" s="38"/>
      <c r="E50" s="296">
        <f>72392.6/7.5345</f>
        <v>9608.1491804366578</v>
      </c>
      <c r="F50" s="297"/>
      <c r="G50" s="296">
        <v>4000</v>
      </c>
      <c r="H50" s="297"/>
      <c r="I50" s="296">
        <v>4000</v>
      </c>
      <c r="J50" s="297"/>
      <c r="K50" s="296">
        <v>0</v>
      </c>
      <c r="L50" s="297"/>
      <c r="M50" s="52">
        <f t="shared" si="30"/>
        <v>0</v>
      </c>
      <c r="N50" s="52">
        <f t="shared" si="31"/>
        <v>0</v>
      </c>
    </row>
    <row r="51" spans="1:16" ht="15.75" thickBot="1" x14ac:dyDescent="0.3">
      <c r="A51" s="298" t="s">
        <v>140</v>
      </c>
      <c r="B51" s="298"/>
      <c r="C51" s="298"/>
      <c r="D51" s="298"/>
      <c r="E51" s="301">
        <f>SUM(E35+E39+E41+E45+E49)</f>
        <v>1680399.9774371223</v>
      </c>
      <c r="F51" s="302"/>
      <c r="G51" s="301">
        <f t="shared" ref="G51" si="44">SUM(G35+G39+G41+G45+G49)</f>
        <v>1766914.7799999998</v>
      </c>
      <c r="H51" s="302"/>
      <c r="I51" s="301">
        <f t="shared" ref="I51" si="45">SUM(I35+I39+I41+I45+I49)</f>
        <v>1952297.93</v>
      </c>
      <c r="J51" s="302"/>
      <c r="K51" s="301">
        <f t="shared" ref="K51" si="46">SUM(K35+K39+K41+K45+K49)</f>
        <v>2027885.8099999998</v>
      </c>
      <c r="L51" s="302"/>
      <c r="M51" s="59">
        <f t="shared" ref="M51" si="47">K51/E51*100</f>
        <v>120.67875727378008</v>
      </c>
      <c r="N51" s="59">
        <f t="shared" ref="N51" si="48">K51/I51*100</f>
        <v>103.87173898196981</v>
      </c>
      <c r="P51" s="35"/>
    </row>
  </sheetData>
  <customSheetViews>
    <customSheetView guid="{005C429F-8448-44DF-83AD-8A930973E873}" topLeftCell="A4">
      <selection activeCell="O19" sqref="O19"/>
      <pageMargins left="0.7" right="0.7" top="0.75" bottom="0.75" header="0.3" footer="0.3"/>
      <pageSetup paperSize="9" scale="82" orientation="portrait" r:id="rId1"/>
    </customSheetView>
  </customSheetViews>
  <mergeCells count="163">
    <mergeCell ref="A5:N5"/>
    <mergeCell ref="A6:N6"/>
    <mergeCell ref="G47:H47"/>
    <mergeCell ref="G48:H48"/>
    <mergeCell ref="G50:H50"/>
    <mergeCell ref="G51:H51"/>
    <mergeCell ref="G26:H26"/>
    <mergeCell ref="G28:H28"/>
    <mergeCell ref="G29:H29"/>
    <mergeCell ref="G32:H33"/>
    <mergeCell ref="G34:H34"/>
    <mergeCell ref="E50:F50"/>
    <mergeCell ref="I50:J50"/>
    <mergeCell ref="K50:L50"/>
    <mergeCell ref="A51:D51"/>
    <mergeCell ref="E29:F29"/>
    <mergeCell ref="I29:J29"/>
    <mergeCell ref="K29:L29"/>
    <mergeCell ref="E51:F51"/>
    <mergeCell ref="I51:J51"/>
    <mergeCell ref="K51:L51"/>
    <mergeCell ref="E47:F47"/>
    <mergeCell ref="I47:J47"/>
    <mergeCell ref="K47:L47"/>
    <mergeCell ref="E48:F48"/>
    <mergeCell ref="I48:J48"/>
    <mergeCell ref="K48:L48"/>
    <mergeCell ref="E44:F44"/>
    <mergeCell ref="I44:J44"/>
    <mergeCell ref="K44:L44"/>
    <mergeCell ref="E46:F46"/>
    <mergeCell ref="I46:J46"/>
    <mergeCell ref="K46:L46"/>
    <mergeCell ref="G44:H44"/>
    <mergeCell ref="G46:H46"/>
    <mergeCell ref="E45:F45"/>
    <mergeCell ref="G45:H45"/>
    <mergeCell ref="I45:J45"/>
    <mergeCell ref="K45:L45"/>
    <mergeCell ref="E42:F42"/>
    <mergeCell ref="I42:J42"/>
    <mergeCell ref="K42:L42"/>
    <mergeCell ref="E43:F43"/>
    <mergeCell ref="I43:J43"/>
    <mergeCell ref="K43:L43"/>
    <mergeCell ref="G42:H42"/>
    <mergeCell ref="G43:H43"/>
    <mergeCell ref="E38:F38"/>
    <mergeCell ref="I38:J38"/>
    <mergeCell ref="K38:L38"/>
    <mergeCell ref="E40:F40"/>
    <mergeCell ref="I40:J40"/>
    <mergeCell ref="K40:L40"/>
    <mergeCell ref="G38:H38"/>
    <mergeCell ref="G40:H40"/>
    <mergeCell ref="E39:F39"/>
    <mergeCell ref="G39:H39"/>
    <mergeCell ref="I39:J39"/>
    <mergeCell ref="K39:L39"/>
    <mergeCell ref="E41:F41"/>
    <mergeCell ref="G41:H41"/>
    <mergeCell ref="I41:J41"/>
    <mergeCell ref="K41:L41"/>
    <mergeCell ref="A32:D32"/>
    <mergeCell ref="E32:F33"/>
    <mergeCell ref="I32:J33"/>
    <mergeCell ref="K32:L33"/>
    <mergeCell ref="B33:D33"/>
    <mergeCell ref="E36:F36"/>
    <mergeCell ref="I36:J36"/>
    <mergeCell ref="K36:L36"/>
    <mergeCell ref="E37:F37"/>
    <mergeCell ref="I37:J37"/>
    <mergeCell ref="K37:L37"/>
    <mergeCell ref="G36:H36"/>
    <mergeCell ref="G37:H37"/>
    <mergeCell ref="A34:D34"/>
    <mergeCell ref="E34:F34"/>
    <mergeCell ref="I34:J34"/>
    <mergeCell ref="K34:L34"/>
    <mergeCell ref="E35:F35"/>
    <mergeCell ref="G35:H35"/>
    <mergeCell ref="I35:J35"/>
    <mergeCell ref="K35:L35"/>
    <mergeCell ref="K21:L21"/>
    <mergeCell ref="I16:J16"/>
    <mergeCell ref="K16:L16"/>
    <mergeCell ref="I18:J18"/>
    <mergeCell ref="E17:F17"/>
    <mergeCell ref="I28:J28"/>
    <mergeCell ref="K28:L28"/>
    <mergeCell ref="A29:D29"/>
    <mergeCell ref="I25:J25"/>
    <mergeCell ref="E22:F22"/>
    <mergeCell ref="E24:F24"/>
    <mergeCell ref="E25:F25"/>
    <mergeCell ref="E26:F26"/>
    <mergeCell ref="E28:F28"/>
    <mergeCell ref="G22:H22"/>
    <mergeCell ref="G24:H24"/>
    <mergeCell ref="G25:H25"/>
    <mergeCell ref="I24:J24"/>
    <mergeCell ref="K24:L24"/>
    <mergeCell ref="I22:J22"/>
    <mergeCell ref="E27:F27"/>
    <mergeCell ref="G27:H27"/>
    <mergeCell ref="I27:J27"/>
    <mergeCell ref="K27:L27"/>
    <mergeCell ref="G21:H21"/>
    <mergeCell ref="G14:H14"/>
    <mergeCell ref="G15:H15"/>
    <mergeCell ref="G16:H16"/>
    <mergeCell ref="G18:H18"/>
    <mergeCell ref="E16:F16"/>
    <mergeCell ref="E18:F18"/>
    <mergeCell ref="E20:F20"/>
    <mergeCell ref="I21:J21"/>
    <mergeCell ref="A7:N7"/>
    <mergeCell ref="A12:D12"/>
    <mergeCell ref="E12:F12"/>
    <mergeCell ref="I12:J12"/>
    <mergeCell ref="K12:L12"/>
    <mergeCell ref="A10:D10"/>
    <mergeCell ref="B11:D11"/>
    <mergeCell ref="E14:F14"/>
    <mergeCell ref="E15:F15"/>
    <mergeCell ref="G10:H11"/>
    <mergeCell ref="E10:F11"/>
    <mergeCell ref="I10:J11"/>
    <mergeCell ref="K10:L11"/>
    <mergeCell ref="G12:H12"/>
    <mergeCell ref="K14:L14"/>
    <mergeCell ref="I15:J15"/>
    <mergeCell ref="K15:L15"/>
    <mergeCell ref="E13:F13"/>
    <mergeCell ref="G13:H13"/>
    <mergeCell ref="I13:J13"/>
    <mergeCell ref="K13:L13"/>
    <mergeCell ref="I14:J14"/>
    <mergeCell ref="E49:F49"/>
    <mergeCell ref="G49:H49"/>
    <mergeCell ref="I49:J49"/>
    <mergeCell ref="K49:L49"/>
    <mergeCell ref="G17:H17"/>
    <mergeCell ref="I17:J17"/>
    <mergeCell ref="K17:L17"/>
    <mergeCell ref="E19:F19"/>
    <mergeCell ref="G19:H19"/>
    <mergeCell ref="I19:J19"/>
    <mergeCell ref="K19:L19"/>
    <mergeCell ref="E23:F23"/>
    <mergeCell ref="G23:H23"/>
    <mergeCell ref="I23:J23"/>
    <mergeCell ref="K23:L23"/>
    <mergeCell ref="K18:L18"/>
    <mergeCell ref="I20:J20"/>
    <mergeCell ref="K20:L20"/>
    <mergeCell ref="K25:L25"/>
    <mergeCell ref="I26:J26"/>
    <mergeCell ref="K26:L26"/>
    <mergeCell ref="K22:L22"/>
    <mergeCell ref="E21:F21"/>
    <mergeCell ref="G20:H20"/>
  </mergeCells>
  <pageMargins left="0.7" right="0.7" top="0.75" bottom="0.75" header="0.3" footer="0.3"/>
  <pageSetup paperSize="9" scale="65" orientation="portrait" r:id="rId2"/>
  <ignoredErrors>
    <ignoredError sqref="M28:N28 M50:N50 M15:N15 M16 N29 M18:N18 M20:N22 M24:N26 M37:N38 M40:N40 M42:N44 M46:N48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Normal="100" workbookViewId="0">
      <selection activeCell="M14" sqref="M14:N14"/>
    </sheetView>
  </sheetViews>
  <sheetFormatPr defaultRowHeight="15" x14ac:dyDescent="0.25"/>
  <cols>
    <col min="4" max="6" width="9.140625" customWidth="1"/>
  </cols>
  <sheetData>
    <row r="1" spans="1:16" x14ac:dyDescent="0.25">
      <c r="A1" s="1" t="s">
        <v>19</v>
      </c>
    </row>
    <row r="2" spans="1:16" x14ac:dyDescent="0.25">
      <c r="A2" t="s">
        <v>17</v>
      </c>
    </row>
    <row r="3" spans="1:16" x14ac:dyDescent="0.25">
      <c r="A3" t="s">
        <v>18</v>
      </c>
    </row>
    <row r="5" spans="1:16" x14ac:dyDescent="0.25">
      <c r="A5" s="132" t="s">
        <v>0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</row>
    <row r="6" spans="1:16" x14ac:dyDescent="0.25">
      <c r="A6" s="132" t="s">
        <v>210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6" x14ac:dyDescent="0.25">
      <c r="A7" s="132" t="s">
        <v>213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</row>
    <row r="8" spans="1:16" ht="15.75" thickBot="1" x14ac:dyDescent="0.3"/>
    <row r="9" spans="1:16" x14ac:dyDescent="0.25">
      <c r="A9" s="268" t="s">
        <v>222</v>
      </c>
      <c r="B9" s="269"/>
      <c r="C9" s="269"/>
      <c r="D9" s="269"/>
      <c r="E9" s="269"/>
      <c r="F9" s="273"/>
      <c r="G9" s="268" t="s">
        <v>47</v>
      </c>
      <c r="H9" s="269"/>
      <c r="I9" s="268" t="s">
        <v>194</v>
      </c>
      <c r="J9" s="269"/>
      <c r="K9" s="268" t="s">
        <v>177</v>
      </c>
      <c r="L9" s="269"/>
      <c r="M9" s="191" t="s">
        <v>178</v>
      </c>
      <c r="N9" s="191"/>
      <c r="O9" s="25" t="s">
        <v>48</v>
      </c>
      <c r="P9" s="25" t="s">
        <v>48</v>
      </c>
    </row>
    <row r="10" spans="1:16" x14ac:dyDescent="0.25">
      <c r="A10" s="270"/>
      <c r="B10" s="271"/>
      <c r="C10" s="271"/>
      <c r="D10" s="271"/>
      <c r="E10" s="271"/>
      <c r="F10" s="274"/>
      <c r="G10" s="270"/>
      <c r="H10" s="271"/>
      <c r="I10" s="270"/>
      <c r="J10" s="271"/>
      <c r="K10" s="270"/>
      <c r="L10" s="271"/>
      <c r="M10" s="192"/>
      <c r="N10" s="192"/>
      <c r="O10" s="28" t="s">
        <v>170</v>
      </c>
      <c r="P10" s="26" t="s">
        <v>174</v>
      </c>
    </row>
    <row r="11" spans="1:16" ht="15.75" thickBot="1" x14ac:dyDescent="0.3">
      <c r="A11" s="266">
        <v>1</v>
      </c>
      <c r="B11" s="267"/>
      <c r="C11" s="267"/>
      <c r="D11" s="267"/>
      <c r="E11" s="267"/>
      <c r="F11" s="272"/>
      <c r="G11" s="266">
        <v>2</v>
      </c>
      <c r="H11" s="267"/>
      <c r="I11" s="266">
        <v>3</v>
      </c>
      <c r="J11" s="267"/>
      <c r="K11" s="266">
        <v>4</v>
      </c>
      <c r="L11" s="267"/>
      <c r="M11" s="266">
        <v>5</v>
      </c>
      <c r="N11" s="267"/>
      <c r="O11" s="27">
        <v>6</v>
      </c>
      <c r="P11" s="27">
        <v>7</v>
      </c>
    </row>
    <row r="12" spans="1:16" ht="15" customHeight="1" x14ac:dyDescent="0.25">
      <c r="A12" s="90" t="s">
        <v>200</v>
      </c>
      <c r="B12" s="91" t="s">
        <v>201</v>
      </c>
      <c r="C12" s="79"/>
      <c r="D12" s="79"/>
      <c r="E12" s="79"/>
      <c r="F12" s="80"/>
      <c r="G12" s="248">
        <f>G13+G31+G37+G44</f>
        <v>1680399.98</v>
      </c>
      <c r="H12" s="249"/>
      <c r="I12" s="248">
        <f>I13+I31+I37+I44</f>
        <v>1766914.78</v>
      </c>
      <c r="J12" s="249"/>
      <c r="K12" s="248">
        <f>K13+K31+K37+K44</f>
        <v>1952297.93</v>
      </c>
      <c r="L12" s="249"/>
      <c r="M12" s="248">
        <f>M13+M31+M37+M44</f>
        <v>2027885.81</v>
      </c>
      <c r="N12" s="249"/>
      <c r="O12" s="57">
        <f>(M12/G12)*100</f>
        <v>120.67875708972575</v>
      </c>
      <c r="P12" s="57">
        <f>M12/K12*100</f>
        <v>103.87173898196984</v>
      </c>
    </row>
    <row r="13" spans="1:16" ht="15" customHeight="1" x14ac:dyDescent="0.25">
      <c r="A13" s="95" t="s">
        <v>203</v>
      </c>
      <c r="B13" s="4" t="s">
        <v>202</v>
      </c>
      <c r="C13" s="81"/>
      <c r="D13" s="81"/>
      <c r="E13" s="81"/>
      <c r="F13" s="82"/>
      <c r="G13" s="232">
        <f>G14</f>
        <v>1680399.98</v>
      </c>
      <c r="H13" s="233"/>
      <c r="I13" s="232">
        <f t="shared" ref="I13" si="0">I14</f>
        <v>1766914.78</v>
      </c>
      <c r="J13" s="233"/>
      <c r="K13" s="232">
        <f t="shared" ref="K13" si="1">K14</f>
        <v>1952297.93</v>
      </c>
      <c r="L13" s="233"/>
      <c r="M13" s="232">
        <f t="shared" ref="M13" si="2">M14</f>
        <v>2027885.81</v>
      </c>
      <c r="N13" s="233"/>
      <c r="O13" s="96">
        <f>M13/G13*100</f>
        <v>120.67875708972575</v>
      </c>
      <c r="P13" s="96">
        <f>M13/K13*100</f>
        <v>103.87173898196984</v>
      </c>
    </row>
    <row r="14" spans="1:16" ht="15.75" thickBot="1" x14ac:dyDescent="0.3">
      <c r="A14" s="92" t="s">
        <v>204</v>
      </c>
      <c r="B14" s="33" t="s">
        <v>205</v>
      </c>
      <c r="C14" s="93"/>
      <c r="D14" s="93"/>
      <c r="E14" s="93"/>
      <c r="F14" s="94"/>
      <c r="G14" s="303">
        <v>1680399.98</v>
      </c>
      <c r="H14" s="304"/>
      <c r="I14" s="303">
        <v>1766914.78</v>
      </c>
      <c r="J14" s="304"/>
      <c r="K14" s="303">
        <v>1952297.93</v>
      </c>
      <c r="L14" s="304"/>
      <c r="M14" s="303">
        <v>2027885.81</v>
      </c>
      <c r="N14" s="304"/>
      <c r="O14" s="97">
        <f>M14/G14*100</f>
        <v>120.67875708972575</v>
      </c>
      <c r="P14" s="97">
        <f>M14/K14*100</f>
        <v>103.87173898196984</v>
      </c>
    </row>
  </sheetData>
  <mergeCells count="25">
    <mergeCell ref="A5:P5"/>
    <mergeCell ref="A6:P6"/>
    <mergeCell ref="A7:P7"/>
    <mergeCell ref="A9:F10"/>
    <mergeCell ref="G9:H10"/>
    <mergeCell ref="I9:J10"/>
    <mergeCell ref="K9:L10"/>
    <mergeCell ref="M9:N10"/>
    <mergeCell ref="G12:H12"/>
    <mergeCell ref="I12:J12"/>
    <mergeCell ref="K12:L12"/>
    <mergeCell ref="M12:N12"/>
    <mergeCell ref="A11:F11"/>
    <mergeCell ref="G11:H11"/>
    <mergeCell ref="I11:J11"/>
    <mergeCell ref="K11:L11"/>
    <mergeCell ref="M11:N11"/>
    <mergeCell ref="G13:H13"/>
    <mergeCell ref="I13:J13"/>
    <mergeCell ref="K13:L13"/>
    <mergeCell ref="M13:N13"/>
    <mergeCell ref="G14:H14"/>
    <mergeCell ref="I14:J14"/>
    <mergeCell ref="K14:L14"/>
    <mergeCell ref="M14:N14"/>
  </mergeCells>
  <pageMargins left="0.7" right="0.7" top="0.75" bottom="0.75" header="0.3" footer="0.3"/>
  <pageSetup paperSize="9" scale="61" orientation="portrait" horizontalDpi="300" verticalDpi="300" r:id="rId1"/>
  <ignoredErrors>
    <ignoredError sqref="O12:P13 O14:P14" evalError="1"/>
    <ignoredError sqref="A12:A1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"/>
  <sheetViews>
    <sheetView tabSelected="1" topLeftCell="A34" zoomScaleNormal="100" workbookViewId="0">
      <selection activeCell="K57" sqref="K57:L57"/>
    </sheetView>
  </sheetViews>
  <sheetFormatPr defaultRowHeight="15" x14ac:dyDescent="0.25"/>
  <cols>
    <col min="1" max="6" width="9.7109375" customWidth="1"/>
    <col min="7" max="15" width="8.85546875" customWidth="1"/>
  </cols>
  <sheetData>
    <row r="1" spans="1:13" x14ac:dyDescent="0.25">
      <c r="A1" s="1" t="s">
        <v>19</v>
      </c>
    </row>
    <row r="2" spans="1:13" x14ac:dyDescent="0.25">
      <c r="A2" t="s">
        <v>17</v>
      </c>
    </row>
    <row r="3" spans="1:13" x14ac:dyDescent="0.25">
      <c r="A3" t="s">
        <v>18</v>
      </c>
    </row>
    <row r="5" spans="1:13" x14ac:dyDescent="0.25">
      <c r="A5" s="132" t="s">
        <v>214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</row>
    <row r="7" spans="1:13" ht="15" customHeight="1" x14ac:dyDescent="0.25">
      <c r="A7" s="315" t="s">
        <v>215</v>
      </c>
      <c r="B7" s="315"/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</row>
    <row r="8" spans="1:13" ht="15.75" thickBot="1" x14ac:dyDescent="0.3"/>
    <row r="9" spans="1:13" ht="15" customHeight="1" x14ac:dyDescent="0.25">
      <c r="A9" s="268" t="s">
        <v>199</v>
      </c>
      <c r="B9" s="269"/>
      <c r="C9" s="269"/>
      <c r="D9" s="269"/>
      <c r="E9" s="269"/>
      <c r="F9" s="269"/>
      <c r="G9" s="268" t="s">
        <v>194</v>
      </c>
      <c r="H9" s="269"/>
      <c r="I9" s="268" t="s">
        <v>177</v>
      </c>
      <c r="J9" s="269"/>
      <c r="K9" s="191" t="s">
        <v>178</v>
      </c>
      <c r="L9" s="191"/>
      <c r="M9" s="25" t="s">
        <v>48</v>
      </c>
    </row>
    <row r="10" spans="1:13" x14ac:dyDescent="0.25">
      <c r="A10" s="270"/>
      <c r="B10" s="271"/>
      <c r="C10" s="271"/>
      <c r="D10" s="271"/>
      <c r="E10" s="271"/>
      <c r="F10" s="271"/>
      <c r="G10" s="270"/>
      <c r="H10" s="271"/>
      <c r="I10" s="270"/>
      <c r="J10" s="271"/>
      <c r="K10" s="192"/>
      <c r="L10" s="192"/>
      <c r="M10" s="26" t="s">
        <v>206</v>
      </c>
    </row>
    <row r="11" spans="1:13" ht="15.75" thickBot="1" x14ac:dyDescent="0.3">
      <c r="A11" s="266">
        <v>1</v>
      </c>
      <c r="B11" s="267"/>
      <c r="C11" s="267"/>
      <c r="D11" s="267"/>
      <c r="E11" s="267"/>
      <c r="F11" s="272"/>
      <c r="G11" s="266">
        <v>2</v>
      </c>
      <c r="H11" s="267"/>
      <c r="I11" s="266">
        <v>3</v>
      </c>
      <c r="J11" s="267"/>
      <c r="K11" s="266">
        <v>4</v>
      </c>
      <c r="L11" s="267"/>
      <c r="M11" s="27">
        <v>5</v>
      </c>
    </row>
    <row r="12" spans="1:13" ht="15.75" thickBot="1" x14ac:dyDescent="0.3">
      <c r="A12" s="110">
        <v>19773</v>
      </c>
      <c r="B12" s="104" t="s">
        <v>218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</row>
    <row r="13" spans="1:13" x14ac:dyDescent="0.25">
      <c r="A13" s="11"/>
      <c r="B13" s="362" t="s">
        <v>227</v>
      </c>
      <c r="C13" s="362"/>
      <c r="D13" s="362"/>
      <c r="E13" s="362"/>
      <c r="F13" s="363"/>
      <c r="G13" s="330">
        <f>SUM(G14:H18)</f>
        <v>1766914.7799999998</v>
      </c>
      <c r="H13" s="331"/>
      <c r="I13" s="330">
        <f t="shared" ref="I13" si="0">SUM(I14:J18)</f>
        <v>1952297.93</v>
      </c>
      <c r="J13" s="331"/>
      <c r="K13" s="330">
        <f t="shared" ref="K13" si="1">SUM(K14:L18)</f>
        <v>2027885.81</v>
      </c>
      <c r="L13" s="331"/>
      <c r="M13" s="112">
        <f>K13/I13*100</f>
        <v>103.87173898196984</v>
      </c>
    </row>
    <row r="14" spans="1:13" x14ac:dyDescent="0.25">
      <c r="A14" s="14">
        <v>1</v>
      </c>
      <c r="B14" s="7" t="s">
        <v>141</v>
      </c>
      <c r="C14" s="7"/>
      <c r="D14" s="7"/>
      <c r="E14" s="7"/>
      <c r="F14" s="15"/>
      <c r="G14" s="332"/>
      <c r="H14" s="333"/>
      <c r="I14" s="332">
        <v>26518.17</v>
      </c>
      <c r="J14" s="333"/>
      <c r="K14" s="332">
        <v>20106.560000000001</v>
      </c>
      <c r="L14" s="333"/>
      <c r="M14" s="111">
        <f t="shared" ref="M14:M18" si="2">K14/I14*100</f>
        <v>75.821823300778306</v>
      </c>
    </row>
    <row r="15" spans="1:13" x14ac:dyDescent="0.25">
      <c r="A15" s="14">
        <v>3</v>
      </c>
      <c r="B15" s="7" t="s">
        <v>228</v>
      </c>
      <c r="C15" s="7"/>
      <c r="D15" s="7"/>
      <c r="E15" s="7"/>
      <c r="F15" s="15"/>
      <c r="G15" s="332">
        <v>3000</v>
      </c>
      <c r="H15" s="333"/>
      <c r="I15" s="332">
        <v>8080</v>
      </c>
      <c r="J15" s="333"/>
      <c r="K15" s="332">
        <v>5414.77</v>
      </c>
      <c r="L15" s="333"/>
      <c r="M15" s="111">
        <f t="shared" si="2"/>
        <v>67.014480198019811</v>
      </c>
    </row>
    <row r="16" spans="1:13" x14ac:dyDescent="0.25">
      <c r="A16" s="14">
        <v>4</v>
      </c>
      <c r="B16" s="7" t="s">
        <v>229</v>
      </c>
      <c r="C16" s="7"/>
      <c r="D16" s="7"/>
      <c r="E16" s="7"/>
      <c r="F16" s="15"/>
      <c r="G16" s="332">
        <v>222053.38</v>
      </c>
      <c r="H16" s="333"/>
      <c r="I16" s="332">
        <v>362134.32</v>
      </c>
      <c r="J16" s="333"/>
      <c r="K16" s="332">
        <v>353183.7</v>
      </c>
      <c r="L16" s="333"/>
      <c r="M16" s="111">
        <f t="shared" si="2"/>
        <v>97.528370136252207</v>
      </c>
    </row>
    <row r="17" spans="1:15" x14ac:dyDescent="0.25">
      <c r="A17" s="14">
        <v>5</v>
      </c>
      <c r="B17" s="7" t="s">
        <v>220</v>
      </c>
      <c r="C17" s="7"/>
      <c r="D17" s="7"/>
      <c r="E17" s="7"/>
      <c r="F17" s="15"/>
      <c r="G17" s="332">
        <v>1537861.4</v>
      </c>
      <c r="H17" s="333"/>
      <c r="I17" s="332">
        <v>1551565.44</v>
      </c>
      <c r="J17" s="333"/>
      <c r="K17" s="332">
        <v>1649180.78</v>
      </c>
      <c r="L17" s="333"/>
      <c r="M17" s="111">
        <f t="shared" si="2"/>
        <v>106.29140979061766</v>
      </c>
    </row>
    <row r="18" spans="1:15" ht="15.75" thickBot="1" x14ac:dyDescent="0.3">
      <c r="A18" s="14">
        <v>6</v>
      </c>
      <c r="B18" s="7" t="s">
        <v>221</v>
      </c>
      <c r="C18" s="7"/>
      <c r="D18" s="7"/>
      <c r="E18" s="7"/>
      <c r="F18" s="15"/>
      <c r="G18" s="332">
        <v>4000</v>
      </c>
      <c r="H18" s="333"/>
      <c r="I18" s="332">
        <v>4000</v>
      </c>
      <c r="J18" s="333"/>
      <c r="K18" s="332">
        <v>0</v>
      </c>
      <c r="L18" s="333"/>
      <c r="M18" s="111">
        <f t="shared" si="2"/>
        <v>0</v>
      </c>
    </row>
    <row r="19" spans="1:15" x14ac:dyDescent="0.25">
      <c r="A19" s="319" t="s">
        <v>20</v>
      </c>
      <c r="B19" s="320"/>
      <c r="C19" s="320"/>
      <c r="D19" s="320"/>
      <c r="E19" s="320"/>
      <c r="F19" s="321"/>
      <c r="G19" s="325">
        <f>G20+G63+G121+G130+G136</f>
        <v>1766914.78</v>
      </c>
      <c r="H19" s="325"/>
      <c r="I19" s="325">
        <f>I20+I63+I121+I130+I136</f>
        <v>1952297.9300000002</v>
      </c>
      <c r="J19" s="325"/>
      <c r="K19" s="325">
        <f>K20+K63+K121+K130+K136</f>
        <v>2027885.81</v>
      </c>
      <c r="L19" s="325"/>
      <c r="M19" s="54">
        <f t="shared" ref="M19:M20" si="3">K19/I19*100</f>
        <v>103.87173898196981</v>
      </c>
    </row>
    <row r="20" spans="1:15" x14ac:dyDescent="0.25">
      <c r="A20" s="316" t="s">
        <v>113</v>
      </c>
      <c r="B20" s="317"/>
      <c r="C20" s="317"/>
      <c r="D20" s="317"/>
      <c r="E20" s="317"/>
      <c r="F20" s="318"/>
      <c r="G20" s="326">
        <f>G21+G47+G51+G55</f>
        <v>1687488.68</v>
      </c>
      <c r="H20" s="327"/>
      <c r="I20" s="326">
        <f>I21+I47+I51+I55</f>
        <v>1827870.21</v>
      </c>
      <c r="J20" s="327"/>
      <c r="K20" s="326">
        <f>K21+K47+K51+K55</f>
        <v>1916762.84</v>
      </c>
      <c r="L20" s="327"/>
      <c r="M20" s="55">
        <f t="shared" si="3"/>
        <v>104.86318063031402</v>
      </c>
    </row>
    <row r="21" spans="1:15" x14ac:dyDescent="0.25">
      <c r="A21" s="322" t="s">
        <v>21</v>
      </c>
      <c r="B21" s="323"/>
      <c r="C21" s="323"/>
      <c r="D21" s="323"/>
      <c r="E21" s="323"/>
      <c r="F21" s="324"/>
      <c r="G21" s="328">
        <f>G23</f>
        <v>190788.68</v>
      </c>
      <c r="H21" s="329"/>
      <c r="I21" s="328">
        <f>I23</f>
        <v>179353.32</v>
      </c>
      <c r="J21" s="329"/>
      <c r="K21" s="328">
        <f>K23</f>
        <v>179353.32</v>
      </c>
      <c r="L21" s="329"/>
      <c r="M21" s="312">
        <f>K21/I21*100</f>
        <v>100</v>
      </c>
    </row>
    <row r="22" spans="1:15" x14ac:dyDescent="0.25">
      <c r="A22" s="322" t="s">
        <v>22</v>
      </c>
      <c r="B22" s="323"/>
      <c r="C22" s="323"/>
      <c r="D22" s="323"/>
      <c r="E22" s="323"/>
      <c r="F22" s="324"/>
      <c r="G22" s="307"/>
      <c r="H22" s="308"/>
      <c r="I22" s="307"/>
      <c r="J22" s="308"/>
      <c r="K22" s="307"/>
      <c r="L22" s="308"/>
      <c r="M22" s="312"/>
    </row>
    <row r="23" spans="1:15" x14ac:dyDescent="0.25">
      <c r="A23" s="39">
        <v>32</v>
      </c>
      <c r="B23" s="40" t="s">
        <v>58</v>
      </c>
      <c r="C23" s="40"/>
      <c r="D23" s="40"/>
      <c r="E23" s="40"/>
      <c r="F23" s="41"/>
      <c r="G23" s="313">
        <f>SUM(G24:H46)</f>
        <v>190788.68</v>
      </c>
      <c r="H23" s="314"/>
      <c r="I23" s="313">
        <f t="shared" ref="I23" si="4">SUM(I24:J46)</f>
        <v>179353.32</v>
      </c>
      <c r="J23" s="314"/>
      <c r="K23" s="313">
        <f t="shared" ref="K23" si="5">SUM(K24:L46)</f>
        <v>179353.32</v>
      </c>
      <c r="L23" s="314"/>
      <c r="M23" s="98">
        <f>K23/I23*100</f>
        <v>100</v>
      </c>
    </row>
    <row r="24" spans="1:15" x14ac:dyDescent="0.25">
      <c r="A24" s="12">
        <v>3211</v>
      </c>
      <c r="B24" s="4" t="s">
        <v>60</v>
      </c>
      <c r="C24" s="4"/>
      <c r="D24" s="4"/>
      <c r="E24" s="4"/>
      <c r="F24" s="13"/>
      <c r="G24" s="156">
        <v>12000</v>
      </c>
      <c r="H24" s="157"/>
      <c r="I24" s="156">
        <v>12566.42</v>
      </c>
      <c r="J24" s="157"/>
      <c r="K24" s="156">
        <v>12566.42</v>
      </c>
      <c r="L24" s="157"/>
      <c r="M24" s="61">
        <f t="shared" ref="M24:M46" si="6">K24/I24*100</f>
        <v>100</v>
      </c>
      <c r="O24" s="35"/>
    </row>
    <row r="25" spans="1:15" x14ac:dyDescent="0.25">
      <c r="A25" s="12">
        <v>3212</v>
      </c>
      <c r="B25" s="4" t="s">
        <v>102</v>
      </c>
      <c r="C25" s="4"/>
      <c r="D25" s="4"/>
      <c r="E25" s="4"/>
      <c r="F25" s="13"/>
      <c r="G25" s="156">
        <v>34300</v>
      </c>
      <c r="H25" s="157"/>
      <c r="I25" s="156">
        <v>34871.699999999997</v>
      </c>
      <c r="J25" s="157"/>
      <c r="K25" s="156">
        <v>34871.699999999997</v>
      </c>
      <c r="L25" s="157"/>
      <c r="M25" s="61">
        <f t="shared" si="6"/>
        <v>100</v>
      </c>
    </row>
    <row r="26" spans="1:15" x14ac:dyDescent="0.25">
      <c r="A26" s="12">
        <v>3213</v>
      </c>
      <c r="B26" s="4" t="s">
        <v>62</v>
      </c>
      <c r="C26" s="4"/>
      <c r="D26" s="4"/>
      <c r="E26" s="4"/>
      <c r="F26" s="13"/>
      <c r="G26" s="156">
        <v>1300</v>
      </c>
      <c r="H26" s="157"/>
      <c r="I26" s="156">
        <v>710.34</v>
      </c>
      <c r="J26" s="157"/>
      <c r="K26" s="156">
        <v>710.34</v>
      </c>
      <c r="L26" s="157"/>
      <c r="M26" s="61">
        <f>K26/I26*100</f>
        <v>100</v>
      </c>
    </row>
    <row r="27" spans="1:15" x14ac:dyDescent="0.25">
      <c r="A27" s="12">
        <v>3214</v>
      </c>
      <c r="B27" s="4" t="s">
        <v>95</v>
      </c>
      <c r="C27" s="4"/>
      <c r="D27" s="4"/>
      <c r="E27" s="4"/>
      <c r="F27" s="13"/>
      <c r="G27" s="156">
        <v>1500</v>
      </c>
      <c r="H27" s="157"/>
      <c r="I27" s="156">
        <v>1782.8</v>
      </c>
      <c r="J27" s="157"/>
      <c r="K27" s="156">
        <v>1782.8</v>
      </c>
      <c r="L27" s="157"/>
      <c r="M27" s="61">
        <f t="shared" si="6"/>
        <v>100</v>
      </c>
    </row>
    <row r="28" spans="1:15" x14ac:dyDescent="0.25">
      <c r="A28" s="12">
        <v>3221</v>
      </c>
      <c r="B28" s="4" t="s">
        <v>64</v>
      </c>
      <c r="C28" s="4"/>
      <c r="D28" s="4"/>
      <c r="E28" s="4"/>
      <c r="F28" s="13"/>
      <c r="G28" s="156">
        <v>14000</v>
      </c>
      <c r="H28" s="157"/>
      <c r="I28" s="156">
        <v>20297.34</v>
      </c>
      <c r="J28" s="157"/>
      <c r="K28" s="156">
        <v>20297.34</v>
      </c>
      <c r="L28" s="157"/>
      <c r="M28" s="61">
        <f t="shared" si="6"/>
        <v>100</v>
      </c>
    </row>
    <row r="29" spans="1:15" x14ac:dyDescent="0.25">
      <c r="A29" s="12">
        <v>3222</v>
      </c>
      <c r="B29" s="4" t="s">
        <v>103</v>
      </c>
      <c r="C29" s="4"/>
      <c r="D29" s="4"/>
      <c r="E29" s="4"/>
      <c r="F29" s="13"/>
      <c r="G29" s="156">
        <v>20000</v>
      </c>
      <c r="H29" s="157"/>
      <c r="I29" s="156">
        <v>19872.77</v>
      </c>
      <c r="J29" s="157"/>
      <c r="K29" s="156">
        <v>19872.77</v>
      </c>
      <c r="L29" s="157"/>
      <c r="M29" s="61">
        <f t="shared" si="6"/>
        <v>100</v>
      </c>
    </row>
    <row r="30" spans="1:15" x14ac:dyDescent="0.25">
      <c r="A30" s="12">
        <v>3223</v>
      </c>
      <c r="B30" s="4" t="s">
        <v>65</v>
      </c>
      <c r="C30" s="4"/>
      <c r="D30" s="4"/>
      <c r="E30" s="4"/>
      <c r="F30" s="13"/>
      <c r="G30" s="156">
        <v>60000</v>
      </c>
      <c r="H30" s="157"/>
      <c r="I30" s="156">
        <v>42847.5</v>
      </c>
      <c r="J30" s="157"/>
      <c r="K30" s="156">
        <v>42847.5</v>
      </c>
      <c r="L30" s="157"/>
      <c r="M30" s="61">
        <f t="shared" si="6"/>
        <v>100</v>
      </c>
    </row>
    <row r="31" spans="1:15" x14ac:dyDescent="0.25">
      <c r="A31" s="12">
        <v>3224</v>
      </c>
      <c r="B31" s="4" t="s">
        <v>104</v>
      </c>
      <c r="C31" s="4"/>
      <c r="D31" s="4"/>
      <c r="E31" s="4"/>
      <c r="F31" s="13"/>
      <c r="G31" s="156">
        <v>6000</v>
      </c>
      <c r="H31" s="157"/>
      <c r="I31" s="156">
        <v>7585.17</v>
      </c>
      <c r="J31" s="157"/>
      <c r="K31" s="156">
        <v>7585.17</v>
      </c>
      <c r="L31" s="157"/>
      <c r="M31" s="61">
        <f t="shared" si="6"/>
        <v>100</v>
      </c>
    </row>
    <row r="32" spans="1:15" x14ac:dyDescent="0.25">
      <c r="A32" s="12">
        <v>3225</v>
      </c>
      <c r="B32" s="4" t="s">
        <v>67</v>
      </c>
      <c r="C32" s="4"/>
      <c r="D32" s="4"/>
      <c r="E32" s="4"/>
      <c r="F32" s="13"/>
      <c r="G32" s="156">
        <v>300</v>
      </c>
      <c r="H32" s="157"/>
      <c r="I32" s="156">
        <v>2307.5</v>
      </c>
      <c r="J32" s="157"/>
      <c r="K32" s="156">
        <v>2307.5</v>
      </c>
      <c r="L32" s="157"/>
      <c r="M32" s="61">
        <f t="shared" si="6"/>
        <v>100</v>
      </c>
    </row>
    <row r="33" spans="1:13" x14ac:dyDescent="0.25">
      <c r="A33" s="12">
        <v>3227</v>
      </c>
      <c r="B33" s="4" t="s">
        <v>68</v>
      </c>
      <c r="C33" s="4"/>
      <c r="D33" s="4"/>
      <c r="E33" s="4"/>
      <c r="F33" s="13"/>
      <c r="G33" s="156">
        <v>530.26</v>
      </c>
      <c r="H33" s="157"/>
      <c r="I33" s="156">
        <v>530.26</v>
      </c>
      <c r="J33" s="157"/>
      <c r="K33" s="156">
        <v>530.26</v>
      </c>
      <c r="L33" s="157"/>
      <c r="M33" s="61">
        <f t="shared" si="6"/>
        <v>100</v>
      </c>
    </row>
    <row r="34" spans="1:13" x14ac:dyDescent="0.25">
      <c r="A34" s="12">
        <v>3231</v>
      </c>
      <c r="B34" s="4" t="s">
        <v>70</v>
      </c>
      <c r="C34" s="4"/>
      <c r="D34" s="4"/>
      <c r="E34" s="4"/>
      <c r="F34" s="13"/>
      <c r="G34" s="156">
        <v>5500</v>
      </c>
      <c r="H34" s="157"/>
      <c r="I34" s="156">
        <v>5512.8</v>
      </c>
      <c r="J34" s="157"/>
      <c r="K34" s="156">
        <v>5512.8</v>
      </c>
      <c r="L34" s="157"/>
      <c r="M34" s="61">
        <f t="shared" si="6"/>
        <v>100</v>
      </c>
    </row>
    <row r="35" spans="1:13" x14ac:dyDescent="0.25">
      <c r="A35" s="12">
        <v>3232</v>
      </c>
      <c r="B35" s="4" t="s">
        <v>71</v>
      </c>
      <c r="C35" s="4"/>
      <c r="D35" s="4"/>
      <c r="E35" s="4"/>
      <c r="F35" s="13"/>
      <c r="G35" s="156">
        <v>5400</v>
      </c>
      <c r="H35" s="157"/>
      <c r="I35" s="156">
        <v>1959.05</v>
      </c>
      <c r="J35" s="157"/>
      <c r="K35" s="156">
        <v>1959.05</v>
      </c>
      <c r="L35" s="157"/>
      <c r="M35" s="61">
        <f t="shared" si="6"/>
        <v>100</v>
      </c>
    </row>
    <row r="36" spans="1:13" x14ac:dyDescent="0.25">
      <c r="A36" s="12">
        <v>3233</v>
      </c>
      <c r="B36" s="4" t="s">
        <v>98</v>
      </c>
      <c r="C36" s="4"/>
      <c r="D36" s="4"/>
      <c r="E36" s="4"/>
      <c r="F36" s="13"/>
      <c r="G36" s="156">
        <v>127.44</v>
      </c>
      <c r="H36" s="157"/>
      <c r="I36" s="156">
        <v>127.44</v>
      </c>
      <c r="J36" s="157"/>
      <c r="K36" s="156">
        <v>127.44</v>
      </c>
      <c r="L36" s="157"/>
      <c r="M36" s="61">
        <f t="shared" si="6"/>
        <v>100</v>
      </c>
    </row>
    <row r="37" spans="1:13" x14ac:dyDescent="0.25">
      <c r="A37" s="12">
        <v>3234</v>
      </c>
      <c r="B37" s="4" t="s">
        <v>97</v>
      </c>
      <c r="C37" s="4"/>
      <c r="D37" s="4"/>
      <c r="E37" s="4"/>
      <c r="F37" s="13"/>
      <c r="G37" s="156">
        <v>7500</v>
      </c>
      <c r="H37" s="157"/>
      <c r="I37" s="156">
        <v>7375.66</v>
      </c>
      <c r="J37" s="157"/>
      <c r="K37" s="156">
        <v>7375.66</v>
      </c>
      <c r="L37" s="157"/>
      <c r="M37" s="61">
        <f t="shared" si="6"/>
        <v>100</v>
      </c>
    </row>
    <row r="38" spans="1:13" x14ac:dyDescent="0.25">
      <c r="A38" s="12">
        <v>3235</v>
      </c>
      <c r="B38" s="4" t="s">
        <v>72</v>
      </c>
      <c r="C38" s="4"/>
      <c r="D38" s="4"/>
      <c r="E38" s="4"/>
      <c r="F38" s="13"/>
      <c r="G38" s="156">
        <v>1800</v>
      </c>
      <c r="H38" s="157"/>
      <c r="I38" s="156">
        <v>1807.64</v>
      </c>
      <c r="J38" s="157"/>
      <c r="K38" s="156">
        <v>1807.64</v>
      </c>
      <c r="L38" s="157"/>
      <c r="M38" s="61">
        <f t="shared" si="6"/>
        <v>100</v>
      </c>
    </row>
    <row r="39" spans="1:13" x14ac:dyDescent="0.25">
      <c r="A39" s="12">
        <v>3236</v>
      </c>
      <c r="B39" s="4" t="s">
        <v>73</v>
      </c>
      <c r="C39" s="4"/>
      <c r="D39" s="4"/>
      <c r="E39" s="4"/>
      <c r="F39" s="13"/>
      <c r="G39" s="156">
        <v>4300</v>
      </c>
      <c r="H39" s="157"/>
      <c r="I39" s="156">
        <v>4065.06</v>
      </c>
      <c r="J39" s="157"/>
      <c r="K39" s="156">
        <v>4065.06</v>
      </c>
      <c r="L39" s="157"/>
      <c r="M39" s="61">
        <f t="shared" si="6"/>
        <v>100</v>
      </c>
    </row>
    <row r="40" spans="1:13" x14ac:dyDescent="0.25">
      <c r="A40" s="12">
        <v>3237</v>
      </c>
      <c r="B40" s="4" t="s">
        <v>74</v>
      </c>
      <c r="C40" s="4"/>
      <c r="D40" s="4"/>
      <c r="E40" s="4"/>
      <c r="F40" s="13"/>
      <c r="G40" s="156">
        <v>2700</v>
      </c>
      <c r="H40" s="157"/>
      <c r="I40" s="156">
        <v>2638.7</v>
      </c>
      <c r="J40" s="157"/>
      <c r="K40" s="156">
        <v>2638.7</v>
      </c>
      <c r="L40" s="157"/>
      <c r="M40" s="61">
        <f t="shared" si="6"/>
        <v>100</v>
      </c>
    </row>
    <row r="41" spans="1:13" x14ac:dyDescent="0.25">
      <c r="A41" s="12">
        <v>3238</v>
      </c>
      <c r="B41" s="4" t="s">
        <v>75</v>
      </c>
      <c r="C41" s="4"/>
      <c r="D41" s="4"/>
      <c r="E41" s="4"/>
      <c r="F41" s="13"/>
      <c r="G41" s="156">
        <v>5000</v>
      </c>
      <c r="H41" s="157"/>
      <c r="I41" s="156">
        <v>5077.7700000000004</v>
      </c>
      <c r="J41" s="157"/>
      <c r="K41" s="156">
        <v>5077.7700000000004</v>
      </c>
      <c r="L41" s="157"/>
      <c r="M41" s="61">
        <f t="shared" si="6"/>
        <v>100</v>
      </c>
    </row>
    <row r="42" spans="1:13" x14ac:dyDescent="0.25">
      <c r="A42" s="12">
        <v>3239</v>
      </c>
      <c r="B42" s="4" t="s">
        <v>76</v>
      </c>
      <c r="C42" s="4"/>
      <c r="D42" s="4"/>
      <c r="E42" s="4"/>
      <c r="F42" s="13"/>
      <c r="G42" s="156">
        <v>2000</v>
      </c>
      <c r="H42" s="157"/>
      <c r="I42" s="156">
        <v>1949.16</v>
      </c>
      <c r="J42" s="157"/>
      <c r="K42" s="156">
        <v>1949.16</v>
      </c>
      <c r="L42" s="157"/>
      <c r="M42" s="61">
        <f t="shared" si="6"/>
        <v>100</v>
      </c>
    </row>
    <row r="43" spans="1:13" x14ac:dyDescent="0.25">
      <c r="A43" s="12">
        <v>3292</v>
      </c>
      <c r="B43" s="4" t="s">
        <v>79</v>
      </c>
      <c r="C43" s="4"/>
      <c r="D43" s="4"/>
      <c r="E43" s="4"/>
      <c r="F43" s="13"/>
      <c r="G43" s="156">
        <v>530.9</v>
      </c>
      <c r="H43" s="157"/>
      <c r="I43" s="156">
        <v>298.3</v>
      </c>
      <c r="J43" s="157"/>
      <c r="K43" s="156">
        <v>298.3</v>
      </c>
      <c r="L43" s="157"/>
      <c r="M43" s="61">
        <f t="shared" si="6"/>
        <v>100</v>
      </c>
    </row>
    <row r="44" spans="1:13" x14ac:dyDescent="0.25">
      <c r="A44" s="12">
        <v>3293</v>
      </c>
      <c r="B44" s="4" t="s">
        <v>80</v>
      </c>
      <c r="C44" s="4"/>
      <c r="D44" s="4"/>
      <c r="E44" s="4"/>
      <c r="F44" s="13"/>
      <c r="G44" s="156">
        <v>400</v>
      </c>
      <c r="H44" s="157"/>
      <c r="I44" s="156">
        <v>350</v>
      </c>
      <c r="J44" s="157"/>
      <c r="K44" s="156">
        <v>350</v>
      </c>
      <c r="L44" s="157"/>
      <c r="M44" s="61">
        <f t="shared" si="6"/>
        <v>100</v>
      </c>
    </row>
    <row r="45" spans="1:13" x14ac:dyDescent="0.25">
      <c r="A45" s="12">
        <v>3294</v>
      </c>
      <c r="B45" s="4" t="s">
        <v>81</v>
      </c>
      <c r="C45" s="4"/>
      <c r="D45" s="4"/>
      <c r="E45" s="4"/>
      <c r="F45" s="13"/>
      <c r="G45" s="156">
        <v>70</v>
      </c>
      <c r="H45" s="157"/>
      <c r="I45" s="156">
        <v>150</v>
      </c>
      <c r="J45" s="157"/>
      <c r="K45" s="156">
        <v>150</v>
      </c>
      <c r="L45" s="157"/>
      <c r="M45" s="61">
        <f t="shared" si="6"/>
        <v>100</v>
      </c>
    </row>
    <row r="46" spans="1:13" x14ac:dyDescent="0.25">
      <c r="A46" s="12">
        <v>3299</v>
      </c>
      <c r="B46" s="4" t="s">
        <v>77</v>
      </c>
      <c r="C46" s="4"/>
      <c r="D46" s="4"/>
      <c r="E46" s="4"/>
      <c r="F46" s="13"/>
      <c r="G46" s="156">
        <v>5530.08</v>
      </c>
      <c r="H46" s="157"/>
      <c r="I46" s="156">
        <v>4669.9399999999996</v>
      </c>
      <c r="J46" s="157"/>
      <c r="K46" s="156">
        <v>4669.9399999999996</v>
      </c>
      <c r="L46" s="157"/>
      <c r="M46" s="61">
        <f t="shared" si="6"/>
        <v>100</v>
      </c>
    </row>
    <row r="47" spans="1:13" x14ac:dyDescent="0.25">
      <c r="A47" s="339" t="s">
        <v>108</v>
      </c>
      <c r="B47" s="340"/>
      <c r="C47" s="340"/>
      <c r="D47" s="340"/>
      <c r="E47" s="340"/>
      <c r="F47" s="341"/>
      <c r="G47" s="307">
        <f>G49</f>
        <v>0</v>
      </c>
      <c r="H47" s="308"/>
      <c r="I47" s="307">
        <f t="shared" ref="I47" si="7">I49</f>
        <v>151516.29999999999</v>
      </c>
      <c r="J47" s="308"/>
      <c r="K47" s="307">
        <f t="shared" ref="K47" si="8">K49</f>
        <v>145903.71</v>
      </c>
      <c r="L47" s="308"/>
      <c r="M47" s="311">
        <f>K47/I47*100</f>
        <v>96.295718678452431</v>
      </c>
    </row>
    <row r="48" spans="1:13" x14ac:dyDescent="0.25">
      <c r="A48" s="67" t="s">
        <v>224</v>
      </c>
      <c r="B48" s="68"/>
      <c r="C48" s="68"/>
      <c r="D48" s="68"/>
      <c r="E48" s="68"/>
      <c r="F48" s="69"/>
      <c r="G48" s="309"/>
      <c r="H48" s="310"/>
      <c r="I48" s="309"/>
      <c r="J48" s="310"/>
      <c r="K48" s="309"/>
      <c r="L48" s="310"/>
      <c r="M48" s="312"/>
    </row>
    <row r="49" spans="1:13" x14ac:dyDescent="0.25">
      <c r="A49" s="39">
        <v>45</v>
      </c>
      <c r="B49" s="40" t="s">
        <v>197</v>
      </c>
      <c r="C49" s="40"/>
      <c r="D49" s="40"/>
      <c r="E49" s="40"/>
      <c r="F49" s="43"/>
      <c r="G49" s="313">
        <f>G50</f>
        <v>0</v>
      </c>
      <c r="H49" s="314"/>
      <c r="I49" s="313">
        <f t="shared" ref="I49" si="9">I50</f>
        <v>151516.29999999999</v>
      </c>
      <c r="J49" s="314"/>
      <c r="K49" s="313">
        <f t="shared" ref="K49" si="10">K50</f>
        <v>145903.71</v>
      </c>
      <c r="L49" s="314"/>
      <c r="M49" s="98">
        <f>K49/I49*100</f>
        <v>96.295718678452431</v>
      </c>
    </row>
    <row r="50" spans="1:13" x14ac:dyDescent="0.25">
      <c r="A50" s="11">
        <v>4511</v>
      </c>
      <c r="B50" s="42" t="s">
        <v>198</v>
      </c>
      <c r="C50" s="42"/>
      <c r="D50" s="42"/>
      <c r="E50" s="42"/>
      <c r="F50" s="41"/>
      <c r="G50" s="178"/>
      <c r="H50" s="179"/>
      <c r="I50" s="178">
        <v>151516.29999999999</v>
      </c>
      <c r="J50" s="179"/>
      <c r="K50" s="178">
        <v>145903.71</v>
      </c>
      <c r="L50" s="179"/>
      <c r="M50" s="99">
        <f>K50/I50*100</f>
        <v>96.295718678452431</v>
      </c>
    </row>
    <row r="51" spans="1:13" x14ac:dyDescent="0.25">
      <c r="A51" s="339" t="s">
        <v>109</v>
      </c>
      <c r="B51" s="340"/>
      <c r="C51" s="340"/>
      <c r="D51" s="340"/>
      <c r="E51" s="340"/>
      <c r="F51" s="340"/>
      <c r="G51" s="307">
        <f>G53</f>
        <v>0</v>
      </c>
      <c r="H51" s="308"/>
      <c r="I51" s="307">
        <f t="shared" ref="I51" si="11">I53</f>
        <v>300.58999999999997</v>
      </c>
      <c r="J51" s="308"/>
      <c r="K51" s="307">
        <f t="shared" ref="K51" si="12">K53</f>
        <v>300.58999999999997</v>
      </c>
      <c r="L51" s="308"/>
      <c r="M51" s="311">
        <f>K51/I51*100</f>
        <v>100</v>
      </c>
    </row>
    <row r="52" spans="1:13" x14ac:dyDescent="0.25">
      <c r="A52" s="322" t="s">
        <v>225</v>
      </c>
      <c r="B52" s="323"/>
      <c r="C52" s="323"/>
      <c r="D52" s="323"/>
      <c r="E52" s="323"/>
      <c r="F52" s="323"/>
      <c r="G52" s="309"/>
      <c r="H52" s="310"/>
      <c r="I52" s="309"/>
      <c r="J52" s="310"/>
      <c r="K52" s="309"/>
      <c r="L52" s="310"/>
      <c r="M52" s="312"/>
    </row>
    <row r="53" spans="1:13" x14ac:dyDescent="0.25">
      <c r="A53" s="39">
        <v>32</v>
      </c>
      <c r="B53" s="40" t="s">
        <v>58</v>
      </c>
      <c r="C53" s="40"/>
      <c r="D53" s="40"/>
      <c r="E53" s="40"/>
      <c r="F53" s="43"/>
      <c r="G53" s="313">
        <f>G54</f>
        <v>0</v>
      </c>
      <c r="H53" s="314"/>
      <c r="I53" s="313">
        <f t="shared" ref="I53" si="13">I54</f>
        <v>300.58999999999997</v>
      </c>
      <c r="J53" s="314"/>
      <c r="K53" s="313">
        <f t="shared" ref="K53" si="14">K54</f>
        <v>300.58999999999997</v>
      </c>
      <c r="L53" s="314"/>
      <c r="M53" s="98">
        <f>K53/I53*100</f>
        <v>100</v>
      </c>
    </row>
    <row r="54" spans="1:13" x14ac:dyDescent="0.25">
      <c r="A54" s="11">
        <v>3237</v>
      </c>
      <c r="B54" s="42" t="s">
        <v>74</v>
      </c>
      <c r="C54" s="42"/>
      <c r="D54" s="42"/>
      <c r="E54" s="42"/>
      <c r="F54" s="41"/>
      <c r="G54" s="178"/>
      <c r="H54" s="179"/>
      <c r="I54" s="178">
        <v>300.58999999999997</v>
      </c>
      <c r="J54" s="179"/>
      <c r="K54" s="178">
        <v>300.58999999999997</v>
      </c>
      <c r="L54" s="179"/>
      <c r="M54" s="99">
        <f>K54/I54*100</f>
        <v>100</v>
      </c>
    </row>
    <row r="55" spans="1:13" x14ac:dyDescent="0.25">
      <c r="A55" s="339" t="s">
        <v>110</v>
      </c>
      <c r="B55" s="340"/>
      <c r="C55" s="340"/>
      <c r="D55" s="340"/>
      <c r="E55" s="340"/>
      <c r="F55" s="341"/>
      <c r="G55" s="305">
        <f>G57+G61</f>
        <v>1496700</v>
      </c>
      <c r="H55" s="306"/>
      <c r="I55" s="305">
        <f t="shared" ref="I55" si="15">I57+I61</f>
        <v>1496700</v>
      </c>
      <c r="J55" s="306"/>
      <c r="K55" s="305">
        <f t="shared" ref="K55" si="16">K57+K61</f>
        <v>1591205.22</v>
      </c>
      <c r="L55" s="306"/>
      <c r="M55" s="311">
        <f t="shared" ref="M55:M56" si="17">K55/I55*100</f>
        <v>106.31423932651833</v>
      </c>
    </row>
    <row r="56" spans="1:13" x14ac:dyDescent="0.25">
      <c r="A56" s="322" t="s">
        <v>111</v>
      </c>
      <c r="B56" s="323"/>
      <c r="C56" s="323"/>
      <c r="D56" s="323"/>
      <c r="E56" s="323"/>
      <c r="F56" s="324"/>
      <c r="G56" s="307"/>
      <c r="H56" s="308"/>
      <c r="I56" s="307"/>
      <c r="J56" s="308"/>
      <c r="K56" s="307"/>
      <c r="L56" s="308"/>
      <c r="M56" s="312" t="e">
        <f t="shared" si="17"/>
        <v>#DIV/0!</v>
      </c>
    </row>
    <row r="57" spans="1:13" x14ac:dyDescent="0.25">
      <c r="A57" s="39">
        <v>31</v>
      </c>
      <c r="B57" s="40" t="s">
        <v>52</v>
      </c>
      <c r="C57" s="40"/>
      <c r="D57" s="40"/>
      <c r="E57" s="40"/>
      <c r="F57" s="43"/>
      <c r="G57" s="313">
        <f>G58+G60+G59</f>
        <v>1495000</v>
      </c>
      <c r="H57" s="314"/>
      <c r="I57" s="313">
        <f t="shared" ref="I57" si="18">I58+I60+I59</f>
        <v>1495000</v>
      </c>
      <c r="J57" s="314"/>
      <c r="K57" s="313">
        <f t="shared" ref="K57" si="19">K58+K60+K59</f>
        <v>1589540.71</v>
      </c>
      <c r="L57" s="314"/>
      <c r="M57" s="99">
        <f>K57/I57*100</f>
        <v>106.32379331103678</v>
      </c>
    </row>
    <row r="58" spans="1:13" x14ac:dyDescent="0.25">
      <c r="A58" s="11">
        <v>3111</v>
      </c>
      <c r="B58" s="42" t="s">
        <v>54</v>
      </c>
      <c r="C58" s="42"/>
      <c r="D58" s="42"/>
      <c r="E58" s="42"/>
      <c r="F58" s="43"/>
      <c r="G58" s="178">
        <v>1240000</v>
      </c>
      <c r="H58" s="179"/>
      <c r="I58" s="178">
        <v>1240000</v>
      </c>
      <c r="J58" s="179"/>
      <c r="K58" s="178">
        <v>1312955.8500000001</v>
      </c>
      <c r="L58" s="179"/>
      <c r="M58" s="99">
        <f>K58/I58*100</f>
        <v>105.88353629032258</v>
      </c>
    </row>
    <row r="59" spans="1:13" x14ac:dyDescent="0.25">
      <c r="A59" s="12">
        <v>3121</v>
      </c>
      <c r="B59" s="4" t="s">
        <v>55</v>
      </c>
      <c r="C59" s="4"/>
      <c r="D59" s="4"/>
      <c r="E59" s="4"/>
      <c r="F59" s="22"/>
      <c r="G59" s="156">
        <v>50000</v>
      </c>
      <c r="H59" s="157"/>
      <c r="I59" s="156">
        <v>50000</v>
      </c>
      <c r="J59" s="157"/>
      <c r="K59" s="156">
        <v>59861.88</v>
      </c>
      <c r="L59" s="157"/>
      <c r="M59" s="51">
        <f>K59/I59*100</f>
        <v>119.72376</v>
      </c>
    </row>
    <row r="60" spans="1:13" x14ac:dyDescent="0.25">
      <c r="A60" s="12">
        <v>3132</v>
      </c>
      <c r="B60" s="4" t="s">
        <v>106</v>
      </c>
      <c r="C60" s="4"/>
      <c r="D60" s="4"/>
      <c r="E60" s="4"/>
      <c r="F60" s="22"/>
      <c r="G60" s="156">
        <v>205000</v>
      </c>
      <c r="H60" s="157"/>
      <c r="I60" s="156">
        <v>205000</v>
      </c>
      <c r="J60" s="157"/>
      <c r="K60" s="156">
        <v>216722.98</v>
      </c>
      <c r="L60" s="157"/>
      <c r="M60" s="51">
        <f>K60/I60*100</f>
        <v>105.7185268292683</v>
      </c>
    </row>
    <row r="61" spans="1:13" x14ac:dyDescent="0.25">
      <c r="A61" s="39">
        <v>32</v>
      </c>
      <c r="B61" s="40" t="s">
        <v>58</v>
      </c>
      <c r="C61" s="40"/>
      <c r="D61" s="40"/>
      <c r="E61" s="40"/>
      <c r="F61" s="43"/>
      <c r="G61" s="313">
        <f>G62</f>
        <v>1700</v>
      </c>
      <c r="H61" s="314"/>
      <c r="I61" s="313">
        <f t="shared" ref="I61" si="20">I62</f>
        <v>1700</v>
      </c>
      <c r="J61" s="314"/>
      <c r="K61" s="313">
        <f t="shared" ref="K61" si="21">K62</f>
        <v>1664.51</v>
      </c>
      <c r="L61" s="314"/>
      <c r="M61" s="51">
        <f>K61/I61*100</f>
        <v>97.912352941176479</v>
      </c>
    </row>
    <row r="62" spans="1:13" x14ac:dyDescent="0.25">
      <c r="A62" s="12">
        <v>3295</v>
      </c>
      <c r="B62" s="4" t="s">
        <v>112</v>
      </c>
      <c r="C62" s="4"/>
      <c r="D62" s="4"/>
      <c r="E62" s="4"/>
      <c r="F62" s="22"/>
      <c r="G62" s="156">
        <v>1700</v>
      </c>
      <c r="H62" s="157"/>
      <c r="I62" s="156">
        <v>1700</v>
      </c>
      <c r="J62" s="157"/>
      <c r="K62" s="156">
        <v>1664.51</v>
      </c>
      <c r="L62" s="157"/>
      <c r="M62" s="51">
        <f t="shared" ref="M62" si="22">K62/I62*100</f>
        <v>97.912352941176479</v>
      </c>
    </row>
    <row r="63" spans="1:13" x14ac:dyDescent="0.25">
      <c r="A63" s="352" t="s">
        <v>114</v>
      </c>
      <c r="B63" s="353"/>
      <c r="C63" s="353"/>
      <c r="D63" s="353"/>
      <c r="E63" s="353"/>
      <c r="F63" s="354"/>
      <c r="G63" s="342">
        <f>G64+G71+G108+G113+G117</f>
        <v>63836.490000000005</v>
      </c>
      <c r="H63" s="343"/>
      <c r="I63" s="342">
        <f>I64+I71+I108+I113+I117</f>
        <v>72026.28</v>
      </c>
      <c r="J63" s="343"/>
      <c r="K63" s="342">
        <f>K64+K71+K108+K113+K117</f>
        <v>64627.189999999988</v>
      </c>
      <c r="L63" s="343"/>
      <c r="M63" s="56">
        <f t="shared" ref="M63" si="23">K63/I63*100</f>
        <v>89.727235670091517</v>
      </c>
    </row>
    <row r="64" spans="1:13" x14ac:dyDescent="0.25">
      <c r="A64" s="322" t="s">
        <v>115</v>
      </c>
      <c r="B64" s="323"/>
      <c r="C64" s="323"/>
      <c r="D64" s="323"/>
      <c r="E64" s="323"/>
      <c r="F64" s="324"/>
      <c r="G64" s="328">
        <f>G66</f>
        <v>0</v>
      </c>
      <c r="H64" s="329"/>
      <c r="I64" s="328">
        <f t="shared" ref="I64" si="24">I66</f>
        <v>1060</v>
      </c>
      <c r="J64" s="329"/>
      <c r="K64" s="328">
        <f t="shared" ref="K64" si="25">K66</f>
        <v>888.81999999999994</v>
      </c>
      <c r="L64" s="329"/>
      <c r="M64" s="312">
        <f t="shared" ref="M64:M69" si="26">K64/I64*100</f>
        <v>83.850943396226413</v>
      </c>
    </row>
    <row r="65" spans="1:13" x14ac:dyDescent="0.25">
      <c r="A65" s="322" t="s">
        <v>116</v>
      </c>
      <c r="B65" s="323"/>
      <c r="C65" s="323"/>
      <c r="D65" s="323"/>
      <c r="E65" s="323"/>
      <c r="F65" s="324"/>
      <c r="G65" s="307"/>
      <c r="H65" s="308"/>
      <c r="I65" s="307"/>
      <c r="J65" s="308"/>
      <c r="K65" s="307"/>
      <c r="L65" s="308"/>
      <c r="M65" s="312" t="e">
        <f t="shared" si="26"/>
        <v>#DIV/0!</v>
      </c>
    </row>
    <row r="66" spans="1:13" x14ac:dyDescent="0.25">
      <c r="A66" s="39">
        <v>32</v>
      </c>
      <c r="B66" s="40" t="s">
        <v>58</v>
      </c>
      <c r="C66" s="40"/>
      <c r="D66" s="40"/>
      <c r="E66" s="40"/>
      <c r="F66" s="43"/>
      <c r="G66" s="313">
        <f>SUM(G67:H70)</f>
        <v>0</v>
      </c>
      <c r="H66" s="314"/>
      <c r="I66" s="313">
        <f>SUM(I67:J70)</f>
        <v>1060</v>
      </c>
      <c r="J66" s="314"/>
      <c r="K66" s="313">
        <f>SUM(K67:L70)</f>
        <v>888.81999999999994</v>
      </c>
      <c r="L66" s="314"/>
      <c r="M66" s="98">
        <f>K66/I66*100</f>
        <v>83.850943396226413</v>
      </c>
    </row>
    <row r="67" spans="1:13" x14ac:dyDescent="0.25">
      <c r="A67" s="11">
        <v>3211</v>
      </c>
      <c r="B67" s="42" t="s">
        <v>60</v>
      </c>
      <c r="C67" s="42"/>
      <c r="D67" s="42"/>
      <c r="E67" s="42"/>
      <c r="F67" s="43"/>
      <c r="G67" s="178"/>
      <c r="H67" s="179"/>
      <c r="I67" s="178">
        <v>265</v>
      </c>
      <c r="J67" s="179"/>
      <c r="K67" s="178">
        <v>265</v>
      </c>
      <c r="L67" s="179"/>
      <c r="M67" s="99">
        <f t="shared" si="26"/>
        <v>100</v>
      </c>
    </row>
    <row r="68" spans="1:13" x14ac:dyDescent="0.25">
      <c r="A68" s="11">
        <v>3221</v>
      </c>
      <c r="B68" s="42" t="s">
        <v>179</v>
      </c>
      <c r="C68" s="42"/>
      <c r="D68" s="42"/>
      <c r="E68" s="42"/>
      <c r="F68" s="43"/>
      <c r="G68" s="178"/>
      <c r="H68" s="179"/>
      <c r="I68" s="178">
        <v>265</v>
      </c>
      <c r="J68" s="179"/>
      <c r="K68" s="178">
        <v>265</v>
      </c>
      <c r="L68" s="179"/>
      <c r="M68" s="99">
        <f t="shared" si="26"/>
        <v>100</v>
      </c>
    </row>
    <row r="69" spans="1:13" x14ac:dyDescent="0.25">
      <c r="A69" s="11">
        <v>3239</v>
      </c>
      <c r="B69" s="42" t="s">
        <v>76</v>
      </c>
      <c r="C69" s="42"/>
      <c r="D69" s="42"/>
      <c r="E69" s="42"/>
      <c r="F69" s="43"/>
      <c r="G69" s="178"/>
      <c r="H69" s="179"/>
      <c r="I69" s="178">
        <v>265</v>
      </c>
      <c r="J69" s="179"/>
      <c r="K69" s="178">
        <v>93.82</v>
      </c>
      <c r="L69" s="179"/>
      <c r="M69" s="99">
        <f t="shared" si="26"/>
        <v>35.403773584905657</v>
      </c>
    </row>
    <row r="70" spans="1:13" x14ac:dyDescent="0.25">
      <c r="A70" s="11">
        <v>3299</v>
      </c>
      <c r="B70" s="42" t="s">
        <v>128</v>
      </c>
      <c r="C70" s="42"/>
      <c r="D70" s="42"/>
      <c r="E70" s="42"/>
      <c r="F70" s="43"/>
      <c r="G70" s="178"/>
      <c r="H70" s="179"/>
      <c r="I70" s="178">
        <v>265</v>
      </c>
      <c r="J70" s="179"/>
      <c r="K70" s="178">
        <v>265</v>
      </c>
      <c r="L70" s="179"/>
      <c r="M70" s="99">
        <f>K70/I70*100</f>
        <v>100</v>
      </c>
    </row>
    <row r="71" spans="1:13" x14ac:dyDescent="0.25">
      <c r="A71" s="339" t="s">
        <v>117</v>
      </c>
      <c r="B71" s="340"/>
      <c r="C71" s="340"/>
      <c r="D71" s="340"/>
      <c r="E71" s="340"/>
      <c r="F71" s="341"/>
      <c r="G71" s="307">
        <f>G73+G78+G81+G91+G94+G96</f>
        <v>63836.490000000005</v>
      </c>
      <c r="H71" s="308"/>
      <c r="I71" s="307">
        <f>I73+I78+I81+I91+I94+I96</f>
        <v>65065.31</v>
      </c>
      <c r="J71" s="308"/>
      <c r="K71" s="307">
        <f>K73+K78+K81+K91+K94+K96</f>
        <v>57837.399999999994</v>
      </c>
      <c r="L71" s="308"/>
      <c r="M71" s="311">
        <f>K71/I71*100</f>
        <v>88.891300141350285</v>
      </c>
    </row>
    <row r="72" spans="1:13" x14ac:dyDescent="0.25">
      <c r="A72" s="355"/>
      <c r="B72" s="356"/>
      <c r="C72" s="356"/>
      <c r="D72" s="356"/>
      <c r="E72" s="356"/>
      <c r="F72" s="357"/>
      <c r="G72" s="328"/>
      <c r="H72" s="329"/>
      <c r="I72" s="328"/>
      <c r="J72" s="329"/>
      <c r="K72" s="328"/>
      <c r="L72" s="329"/>
      <c r="M72" s="361"/>
    </row>
    <row r="73" spans="1:13" x14ac:dyDescent="0.25">
      <c r="A73" s="339" t="s">
        <v>124</v>
      </c>
      <c r="B73" s="340"/>
      <c r="C73" s="340"/>
      <c r="D73" s="340"/>
      <c r="E73" s="340"/>
      <c r="F73" s="341"/>
      <c r="G73" s="307">
        <f>G74+G76</f>
        <v>3000</v>
      </c>
      <c r="H73" s="308"/>
      <c r="I73" s="307">
        <f>I74+I76</f>
        <v>3000</v>
      </c>
      <c r="J73" s="308"/>
      <c r="K73" s="307">
        <f t="shared" ref="K73" si="27">K74+K76</f>
        <v>0</v>
      </c>
      <c r="L73" s="308"/>
      <c r="M73" s="100">
        <f>K73/I73*100</f>
        <v>0</v>
      </c>
    </row>
    <row r="74" spans="1:13" x14ac:dyDescent="0.25">
      <c r="A74" s="39">
        <v>32</v>
      </c>
      <c r="B74" s="40" t="s">
        <v>58</v>
      </c>
      <c r="C74" s="40"/>
      <c r="D74" s="40"/>
      <c r="E74" s="40"/>
      <c r="F74" s="43"/>
      <c r="G74" s="313">
        <f>G75</f>
        <v>1500</v>
      </c>
      <c r="H74" s="314"/>
      <c r="I74" s="313">
        <f t="shared" ref="I74" si="28">I75</f>
        <v>1500</v>
      </c>
      <c r="J74" s="314"/>
      <c r="K74" s="313">
        <f t="shared" ref="K74" si="29">K75</f>
        <v>0</v>
      </c>
      <c r="L74" s="314"/>
      <c r="M74" s="103">
        <f>K74/I74*100</f>
        <v>0</v>
      </c>
    </row>
    <row r="75" spans="1:13" x14ac:dyDescent="0.25">
      <c r="A75" s="12">
        <v>3222</v>
      </c>
      <c r="B75" s="4" t="s">
        <v>96</v>
      </c>
      <c r="C75" s="4"/>
      <c r="D75" s="4"/>
      <c r="E75" s="4"/>
      <c r="F75" s="13"/>
      <c r="G75" s="156">
        <v>1500</v>
      </c>
      <c r="H75" s="157"/>
      <c r="I75" s="156">
        <v>1500</v>
      </c>
      <c r="J75" s="157"/>
      <c r="K75" s="156">
        <v>0</v>
      </c>
      <c r="L75" s="157"/>
      <c r="M75" s="51">
        <f>K75/I75*100</f>
        <v>0</v>
      </c>
    </row>
    <row r="76" spans="1:13" x14ac:dyDescent="0.25">
      <c r="A76" s="21">
        <v>42</v>
      </c>
      <c r="B76" s="5" t="s">
        <v>88</v>
      </c>
      <c r="C76" s="5"/>
      <c r="D76" s="5"/>
      <c r="E76" s="5"/>
      <c r="F76" s="22"/>
      <c r="G76" s="289">
        <f>G77</f>
        <v>1500</v>
      </c>
      <c r="H76" s="290"/>
      <c r="I76" s="289">
        <f t="shared" ref="I76" si="30">I77</f>
        <v>1500</v>
      </c>
      <c r="J76" s="290"/>
      <c r="K76" s="289">
        <f t="shared" ref="K76" si="31">K77</f>
        <v>0</v>
      </c>
      <c r="L76" s="290"/>
      <c r="M76" s="50">
        <f>K76/I76*100</f>
        <v>0</v>
      </c>
    </row>
    <row r="77" spans="1:13" x14ac:dyDescent="0.25">
      <c r="A77" s="12">
        <v>4221</v>
      </c>
      <c r="B77" s="4" t="s">
        <v>105</v>
      </c>
      <c r="C77" s="4"/>
      <c r="D77" s="4"/>
      <c r="E77" s="4"/>
      <c r="F77" s="22"/>
      <c r="G77" s="156">
        <v>1500</v>
      </c>
      <c r="H77" s="157"/>
      <c r="I77" s="156">
        <v>1500</v>
      </c>
      <c r="J77" s="157"/>
      <c r="K77" s="156">
        <v>0</v>
      </c>
      <c r="L77" s="157"/>
      <c r="M77" s="51">
        <f t="shared" ref="M77:M107" si="32">K77/I77*100</f>
        <v>0</v>
      </c>
    </row>
    <row r="78" spans="1:13" x14ac:dyDescent="0.25">
      <c r="A78" s="339" t="s">
        <v>122</v>
      </c>
      <c r="B78" s="340"/>
      <c r="C78" s="340"/>
      <c r="D78" s="340"/>
      <c r="E78" s="340"/>
      <c r="F78" s="341"/>
      <c r="G78" s="307">
        <f>G79</f>
        <v>600</v>
      </c>
      <c r="H78" s="308"/>
      <c r="I78" s="307">
        <f>I80</f>
        <v>600</v>
      </c>
      <c r="J78" s="308"/>
      <c r="K78" s="307">
        <f>K80</f>
        <v>0</v>
      </c>
      <c r="L78" s="308"/>
      <c r="M78" s="100">
        <f t="shared" si="32"/>
        <v>0</v>
      </c>
    </row>
    <row r="79" spans="1:13" x14ac:dyDescent="0.25">
      <c r="A79" s="39">
        <v>32</v>
      </c>
      <c r="B79" s="40" t="s">
        <v>58</v>
      </c>
      <c r="C79" s="40"/>
      <c r="D79" s="40"/>
      <c r="E79" s="40"/>
      <c r="F79" s="43"/>
      <c r="G79" s="313">
        <f>G80</f>
        <v>600</v>
      </c>
      <c r="H79" s="314"/>
      <c r="I79" s="313">
        <f t="shared" ref="I79" si="33">I80</f>
        <v>600</v>
      </c>
      <c r="J79" s="314"/>
      <c r="K79" s="313">
        <f t="shared" ref="K79" si="34">K80</f>
        <v>0</v>
      </c>
      <c r="L79" s="314"/>
      <c r="M79" s="103">
        <f>K79/I79*100</f>
        <v>0</v>
      </c>
    </row>
    <row r="80" spans="1:13" x14ac:dyDescent="0.25">
      <c r="A80" s="29">
        <v>3221</v>
      </c>
      <c r="B80" s="3" t="s">
        <v>64</v>
      </c>
      <c r="C80" s="3"/>
      <c r="D80" s="3"/>
      <c r="E80" s="3"/>
      <c r="F80" s="30"/>
      <c r="G80" s="178">
        <v>600</v>
      </c>
      <c r="H80" s="179"/>
      <c r="I80" s="337">
        <v>600</v>
      </c>
      <c r="J80" s="338"/>
      <c r="K80" s="337">
        <v>0</v>
      </c>
      <c r="L80" s="338"/>
      <c r="M80" s="99">
        <f t="shared" si="32"/>
        <v>0</v>
      </c>
    </row>
    <row r="81" spans="1:13" x14ac:dyDescent="0.25">
      <c r="A81" s="339" t="s">
        <v>118</v>
      </c>
      <c r="B81" s="340"/>
      <c r="C81" s="340"/>
      <c r="D81" s="340"/>
      <c r="E81" s="340"/>
      <c r="F81" s="341"/>
      <c r="G81" s="307">
        <f>G82+G84+G89</f>
        <v>40161.4</v>
      </c>
      <c r="H81" s="308"/>
      <c r="I81" s="307">
        <f t="shared" ref="I81" si="35">I82+I84+I89</f>
        <v>41390.22</v>
      </c>
      <c r="J81" s="308"/>
      <c r="K81" s="307">
        <f t="shared" ref="K81" si="36">K82+K84+K89</f>
        <v>45500.34</v>
      </c>
      <c r="L81" s="308"/>
      <c r="M81" s="100">
        <f t="shared" ref="M81" si="37">K81/I81*100</f>
        <v>109.93017191017587</v>
      </c>
    </row>
    <row r="82" spans="1:13" x14ac:dyDescent="0.25">
      <c r="A82" s="39">
        <v>31</v>
      </c>
      <c r="B82" s="40" t="s">
        <v>52</v>
      </c>
      <c r="C82" s="40"/>
      <c r="D82" s="40"/>
      <c r="E82" s="40"/>
      <c r="F82" s="43"/>
      <c r="G82" s="313">
        <f>G83</f>
        <v>11147.39</v>
      </c>
      <c r="H82" s="314"/>
      <c r="I82" s="313">
        <f t="shared" ref="I82" si="38">I83</f>
        <v>11147.39</v>
      </c>
      <c r="J82" s="314"/>
      <c r="K82" s="313">
        <f t="shared" ref="K82" si="39">K83</f>
        <v>11147.39</v>
      </c>
      <c r="L82" s="314"/>
      <c r="M82" s="102">
        <f>K82/I82*100</f>
        <v>100</v>
      </c>
    </row>
    <row r="83" spans="1:13" x14ac:dyDescent="0.25">
      <c r="A83" s="12">
        <v>3111</v>
      </c>
      <c r="B83" s="4" t="s">
        <v>119</v>
      </c>
      <c r="C83" s="4"/>
      <c r="D83" s="4"/>
      <c r="E83" s="4"/>
      <c r="F83" s="13"/>
      <c r="G83" s="156">
        <v>11147.39</v>
      </c>
      <c r="H83" s="157"/>
      <c r="I83" s="156">
        <v>11147.39</v>
      </c>
      <c r="J83" s="157"/>
      <c r="K83" s="156">
        <v>11147.39</v>
      </c>
      <c r="L83" s="157"/>
      <c r="M83" s="51">
        <f t="shared" si="32"/>
        <v>100</v>
      </c>
    </row>
    <row r="84" spans="1:13" x14ac:dyDescent="0.25">
      <c r="A84" s="21">
        <v>32</v>
      </c>
      <c r="B84" s="5" t="s">
        <v>58</v>
      </c>
      <c r="C84" s="5"/>
      <c r="D84" s="5"/>
      <c r="E84" s="5"/>
      <c r="F84" s="22"/>
      <c r="G84" s="289">
        <f>G85+G86+G87+G88</f>
        <v>28014.010000000002</v>
      </c>
      <c r="H84" s="290"/>
      <c r="I84" s="289">
        <f t="shared" ref="I84" si="40">I85+I86+I87+I88</f>
        <v>29242.83</v>
      </c>
      <c r="J84" s="290"/>
      <c r="K84" s="289">
        <f t="shared" ref="K84" si="41">K85+K86+K87+K88</f>
        <v>33557.269999999997</v>
      </c>
      <c r="L84" s="290"/>
      <c r="M84" s="50">
        <f>K84/I84*100</f>
        <v>114.75383880424704</v>
      </c>
    </row>
    <row r="85" spans="1:13" x14ac:dyDescent="0.25">
      <c r="A85" s="12">
        <v>3221</v>
      </c>
      <c r="B85" s="4" t="s">
        <v>64</v>
      </c>
      <c r="C85" s="4"/>
      <c r="D85" s="4"/>
      <c r="E85" s="4"/>
      <c r="F85" s="13"/>
      <c r="G85" s="156"/>
      <c r="H85" s="157"/>
      <c r="I85" s="156">
        <v>1228.82</v>
      </c>
      <c r="J85" s="157"/>
      <c r="K85" s="156">
        <v>1228.82</v>
      </c>
      <c r="L85" s="157"/>
      <c r="M85" s="51">
        <f t="shared" ref="M85" si="42">K85/I85*100</f>
        <v>100</v>
      </c>
    </row>
    <row r="86" spans="1:13" x14ac:dyDescent="0.25">
      <c r="A86" s="12">
        <v>3231</v>
      </c>
      <c r="B86" s="4" t="s">
        <v>70</v>
      </c>
      <c r="C86" s="4"/>
      <c r="D86" s="4"/>
      <c r="E86" s="4"/>
      <c r="F86" s="13"/>
      <c r="G86" s="156">
        <v>25000</v>
      </c>
      <c r="H86" s="157"/>
      <c r="I86" s="156">
        <v>25000</v>
      </c>
      <c r="J86" s="157"/>
      <c r="K86" s="156">
        <v>29464.44</v>
      </c>
      <c r="L86" s="157"/>
      <c r="M86" s="51">
        <f t="shared" si="32"/>
        <v>117.85775999999998</v>
      </c>
    </row>
    <row r="87" spans="1:13" x14ac:dyDescent="0.25">
      <c r="A87" s="12">
        <v>3291</v>
      </c>
      <c r="B87" s="4" t="s">
        <v>120</v>
      </c>
      <c r="C87" s="4"/>
      <c r="D87" s="4"/>
      <c r="E87" s="4"/>
      <c r="F87" s="13"/>
      <c r="G87" s="156">
        <v>150</v>
      </c>
      <c r="H87" s="157"/>
      <c r="I87" s="156">
        <v>150</v>
      </c>
      <c r="J87" s="157"/>
      <c r="K87" s="156">
        <v>0</v>
      </c>
      <c r="L87" s="157"/>
      <c r="M87" s="51">
        <f t="shared" si="32"/>
        <v>0</v>
      </c>
    </row>
    <row r="88" spans="1:13" x14ac:dyDescent="0.25">
      <c r="A88" s="12">
        <v>3296</v>
      </c>
      <c r="B88" s="4" t="s">
        <v>83</v>
      </c>
      <c r="C88" s="4"/>
      <c r="D88" s="4"/>
      <c r="E88" s="4"/>
      <c r="F88" s="13"/>
      <c r="G88" s="156">
        <v>2864.01</v>
      </c>
      <c r="H88" s="157"/>
      <c r="I88" s="156">
        <v>2864.01</v>
      </c>
      <c r="J88" s="157"/>
      <c r="K88" s="156">
        <v>2864.01</v>
      </c>
      <c r="L88" s="157"/>
      <c r="M88" s="51">
        <f t="shared" si="32"/>
        <v>100</v>
      </c>
    </row>
    <row r="89" spans="1:13" x14ac:dyDescent="0.25">
      <c r="A89" s="39">
        <v>42</v>
      </c>
      <c r="B89" s="40" t="s">
        <v>88</v>
      </c>
      <c r="C89" s="40"/>
      <c r="D89" s="40"/>
      <c r="E89" s="40"/>
      <c r="F89" s="43"/>
      <c r="G89" s="313">
        <f>G90</f>
        <v>1000</v>
      </c>
      <c r="H89" s="314"/>
      <c r="I89" s="313">
        <f t="shared" ref="I89" si="43">I90</f>
        <v>1000</v>
      </c>
      <c r="J89" s="314"/>
      <c r="K89" s="313">
        <f t="shared" ref="K89" si="44">K90</f>
        <v>795.68</v>
      </c>
      <c r="L89" s="314"/>
      <c r="M89" s="103">
        <f>K89/I89*100</f>
        <v>79.567999999999998</v>
      </c>
    </row>
    <row r="90" spans="1:13" x14ac:dyDescent="0.25">
      <c r="A90" s="29">
        <v>4241</v>
      </c>
      <c r="B90" s="3" t="s">
        <v>121</v>
      </c>
      <c r="C90" s="3"/>
      <c r="D90" s="3"/>
      <c r="E90" s="3"/>
      <c r="F90" s="30"/>
      <c r="G90" s="156">
        <v>1000</v>
      </c>
      <c r="H90" s="157"/>
      <c r="I90" s="347">
        <v>1000</v>
      </c>
      <c r="J90" s="348"/>
      <c r="K90" s="347">
        <v>795.68</v>
      </c>
      <c r="L90" s="348"/>
      <c r="M90" s="51">
        <f t="shared" si="32"/>
        <v>79.567999999999998</v>
      </c>
    </row>
    <row r="91" spans="1:13" x14ac:dyDescent="0.25">
      <c r="A91" s="339" t="s">
        <v>126</v>
      </c>
      <c r="B91" s="340"/>
      <c r="C91" s="340"/>
      <c r="D91" s="340"/>
      <c r="E91" s="340"/>
      <c r="F91" s="341"/>
      <c r="G91" s="307">
        <f>G92</f>
        <v>1000</v>
      </c>
      <c r="H91" s="308"/>
      <c r="I91" s="307">
        <f t="shared" ref="I91" si="45">I92</f>
        <v>1000</v>
      </c>
      <c r="J91" s="308"/>
      <c r="K91" s="307">
        <f t="shared" ref="K91" si="46">K92</f>
        <v>0</v>
      </c>
      <c r="L91" s="308"/>
      <c r="M91" s="100">
        <f t="shared" si="32"/>
        <v>0</v>
      </c>
    </row>
    <row r="92" spans="1:13" x14ac:dyDescent="0.25">
      <c r="A92" s="39">
        <v>42</v>
      </c>
      <c r="B92" s="40" t="s">
        <v>88</v>
      </c>
      <c r="C92" s="40"/>
      <c r="D92" s="40"/>
      <c r="E92" s="40"/>
      <c r="F92" s="43"/>
      <c r="G92" s="313">
        <f>G93</f>
        <v>1000</v>
      </c>
      <c r="H92" s="314"/>
      <c r="I92" s="313">
        <f t="shared" ref="I92" si="47">I93</f>
        <v>1000</v>
      </c>
      <c r="J92" s="314"/>
      <c r="K92" s="313">
        <f t="shared" ref="K92" si="48">K93</f>
        <v>0</v>
      </c>
      <c r="L92" s="314"/>
      <c r="M92" s="103">
        <f>K92/I92*100</f>
        <v>0</v>
      </c>
    </row>
    <row r="93" spans="1:13" x14ac:dyDescent="0.25">
      <c r="A93" s="29">
        <v>4241</v>
      </c>
      <c r="B93" s="3" t="s">
        <v>121</v>
      </c>
      <c r="C93" s="3"/>
      <c r="D93" s="3"/>
      <c r="E93" s="3"/>
      <c r="F93" s="30"/>
      <c r="G93" s="178">
        <v>1000</v>
      </c>
      <c r="H93" s="179"/>
      <c r="I93" s="337">
        <v>1000</v>
      </c>
      <c r="J93" s="338"/>
      <c r="K93" s="337">
        <v>0</v>
      </c>
      <c r="L93" s="338"/>
      <c r="M93" s="99">
        <f t="shared" si="32"/>
        <v>0</v>
      </c>
    </row>
    <row r="94" spans="1:13" x14ac:dyDescent="0.25">
      <c r="A94" s="339" t="s">
        <v>123</v>
      </c>
      <c r="B94" s="340"/>
      <c r="C94" s="340"/>
      <c r="D94" s="340"/>
      <c r="E94" s="340"/>
      <c r="F94" s="341"/>
      <c r="G94" s="307">
        <f>SUM(G95:H95)</f>
        <v>4000</v>
      </c>
      <c r="H94" s="308"/>
      <c r="I94" s="307">
        <f t="shared" ref="I94" si="49">SUM(I95:J95)</f>
        <v>4000</v>
      </c>
      <c r="J94" s="308"/>
      <c r="K94" s="307">
        <f t="shared" ref="K94" si="50">SUM(K95:L95)</f>
        <v>0</v>
      </c>
      <c r="L94" s="308"/>
      <c r="M94" s="100">
        <f t="shared" si="32"/>
        <v>0</v>
      </c>
    </row>
    <row r="95" spans="1:13" x14ac:dyDescent="0.25">
      <c r="A95" s="11">
        <v>3299</v>
      </c>
      <c r="B95" s="42" t="s">
        <v>77</v>
      </c>
      <c r="C95" s="42"/>
      <c r="D95" s="42"/>
      <c r="E95" s="42"/>
      <c r="F95" s="41"/>
      <c r="G95" s="178">
        <v>4000</v>
      </c>
      <c r="H95" s="179"/>
      <c r="I95" s="178">
        <v>4000</v>
      </c>
      <c r="J95" s="179"/>
      <c r="K95" s="178">
        <v>0</v>
      </c>
      <c r="L95" s="179"/>
      <c r="M95" s="99">
        <f t="shared" ref="M95" si="51">K95/I95*100</f>
        <v>0</v>
      </c>
    </row>
    <row r="96" spans="1:13" x14ac:dyDescent="0.25">
      <c r="A96" s="339" t="s">
        <v>125</v>
      </c>
      <c r="B96" s="340"/>
      <c r="C96" s="340"/>
      <c r="D96" s="340"/>
      <c r="E96" s="340"/>
      <c r="F96" s="341"/>
      <c r="G96" s="307">
        <f>SUM(G97+G99+G106)</f>
        <v>15075.09</v>
      </c>
      <c r="H96" s="308"/>
      <c r="I96" s="307">
        <f t="shared" ref="I96" si="52">SUM(I97+I99+I106)</f>
        <v>15075.09</v>
      </c>
      <c r="J96" s="308"/>
      <c r="K96" s="307">
        <f t="shared" ref="K96" si="53">SUM(K97+K99+K106)</f>
        <v>12337.060000000001</v>
      </c>
      <c r="L96" s="308"/>
      <c r="M96" s="100">
        <f t="shared" si="32"/>
        <v>81.837388698840286</v>
      </c>
    </row>
    <row r="97" spans="1:13" x14ac:dyDescent="0.25">
      <c r="A97" s="39">
        <v>31</v>
      </c>
      <c r="B97" s="40" t="s">
        <v>52</v>
      </c>
      <c r="C97" s="40"/>
      <c r="D97" s="40"/>
      <c r="E97" s="40"/>
      <c r="F97" s="43"/>
      <c r="G97" s="313">
        <f>G98</f>
        <v>5060.29</v>
      </c>
      <c r="H97" s="314"/>
      <c r="I97" s="313">
        <f t="shared" ref="I97" si="54">I98</f>
        <v>5060.29</v>
      </c>
      <c r="J97" s="314"/>
      <c r="K97" s="313">
        <f t="shared" ref="K97" si="55">K98</f>
        <v>5060.29</v>
      </c>
      <c r="L97" s="314"/>
      <c r="M97" s="102">
        <f>K97/I97*100</f>
        <v>100</v>
      </c>
    </row>
    <row r="98" spans="1:13" x14ac:dyDescent="0.25">
      <c r="A98" s="11">
        <v>3111</v>
      </c>
      <c r="B98" s="42" t="s">
        <v>119</v>
      </c>
      <c r="C98" s="42"/>
      <c r="D98" s="42"/>
      <c r="E98" s="42"/>
      <c r="F98" s="41"/>
      <c r="G98" s="178">
        <v>5060.29</v>
      </c>
      <c r="H98" s="179"/>
      <c r="I98" s="178">
        <v>5060.29</v>
      </c>
      <c r="J98" s="179"/>
      <c r="K98" s="178">
        <v>5060.29</v>
      </c>
      <c r="L98" s="179"/>
      <c r="M98" s="99">
        <f t="shared" si="32"/>
        <v>100</v>
      </c>
    </row>
    <row r="99" spans="1:13" x14ac:dyDescent="0.25">
      <c r="A99" s="21">
        <v>32</v>
      </c>
      <c r="B99" s="5" t="s">
        <v>58</v>
      </c>
      <c r="C99" s="5"/>
      <c r="D99" s="5"/>
      <c r="E99" s="5"/>
      <c r="F99" s="22"/>
      <c r="G99" s="289">
        <f>G100+G101+G102+G103+G104+G105</f>
        <v>8714.7999999999993</v>
      </c>
      <c r="H99" s="290"/>
      <c r="I99" s="289">
        <f t="shared" ref="I99" si="56">I100+I101+I102+I103+I104+I105</f>
        <v>8714.7999999999993</v>
      </c>
      <c r="J99" s="290"/>
      <c r="K99" s="289">
        <f t="shared" ref="K99" si="57">K100+K101+K102+K103+K104+K105</f>
        <v>4144.43</v>
      </c>
      <c r="L99" s="290"/>
      <c r="M99" s="50">
        <f>K99/I99*100</f>
        <v>47.556226189929788</v>
      </c>
    </row>
    <row r="100" spans="1:13" x14ac:dyDescent="0.25">
      <c r="A100" s="11">
        <v>3211</v>
      </c>
      <c r="B100" s="42" t="s">
        <v>60</v>
      </c>
      <c r="C100" s="42"/>
      <c r="D100" s="42"/>
      <c r="E100" s="42"/>
      <c r="F100" s="41"/>
      <c r="G100" s="156">
        <v>300</v>
      </c>
      <c r="H100" s="157"/>
      <c r="I100" s="178">
        <v>300</v>
      </c>
      <c r="J100" s="179"/>
      <c r="K100" s="178">
        <v>595.20000000000005</v>
      </c>
      <c r="L100" s="179"/>
      <c r="M100" s="99">
        <f t="shared" ref="M100:M101" si="58">K100/I100*100</f>
        <v>198.40000000000003</v>
      </c>
    </row>
    <row r="101" spans="1:13" x14ac:dyDescent="0.25">
      <c r="A101" s="11">
        <v>3224</v>
      </c>
      <c r="B101" s="4" t="s">
        <v>104</v>
      </c>
      <c r="C101" s="42"/>
      <c r="D101" s="42"/>
      <c r="E101" s="42"/>
      <c r="F101" s="41"/>
      <c r="G101" s="156">
        <v>1000</v>
      </c>
      <c r="H101" s="157"/>
      <c r="I101" s="178">
        <v>1000</v>
      </c>
      <c r="J101" s="179"/>
      <c r="K101" s="178">
        <v>0</v>
      </c>
      <c r="L101" s="179"/>
      <c r="M101" s="51">
        <f t="shared" si="58"/>
        <v>0</v>
      </c>
    </row>
    <row r="102" spans="1:13" x14ac:dyDescent="0.25">
      <c r="A102" s="12">
        <v>3231</v>
      </c>
      <c r="B102" s="4" t="s">
        <v>70</v>
      </c>
      <c r="C102" s="4"/>
      <c r="D102" s="4"/>
      <c r="E102" s="4"/>
      <c r="F102" s="13"/>
      <c r="G102" s="156">
        <v>2000</v>
      </c>
      <c r="H102" s="157"/>
      <c r="I102" s="178">
        <v>2000</v>
      </c>
      <c r="J102" s="179"/>
      <c r="K102" s="178">
        <v>980</v>
      </c>
      <c r="L102" s="179"/>
      <c r="M102" s="51">
        <f t="shared" si="32"/>
        <v>49</v>
      </c>
    </row>
    <row r="103" spans="1:13" x14ac:dyDescent="0.25">
      <c r="A103" s="12">
        <v>3237</v>
      </c>
      <c r="B103" s="4" t="s">
        <v>74</v>
      </c>
      <c r="C103" s="4"/>
      <c r="D103" s="4"/>
      <c r="E103" s="4"/>
      <c r="F103" s="13"/>
      <c r="G103" s="156">
        <v>1077.46</v>
      </c>
      <c r="H103" s="157"/>
      <c r="I103" s="156">
        <v>1077.46</v>
      </c>
      <c r="J103" s="157"/>
      <c r="K103" s="156">
        <v>1077.46</v>
      </c>
      <c r="L103" s="157"/>
      <c r="M103" s="51">
        <f t="shared" si="32"/>
        <v>100</v>
      </c>
    </row>
    <row r="104" spans="1:13" x14ac:dyDescent="0.25">
      <c r="A104" s="12">
        <v>3296</v>
      </c>
      <c r="B104" s="4" t="s">
        <v>83</v>
      </c>
      <c r="C104" s="4"/>
      <c r="D104" s="4"/>
      <c r="E104" s="4"/>
      <c r="F104" s="13"/>
      <c r="G104" s="156">
        <v>1266.77</v>
      </c>
      <c r="H104" s="157"/>
      <c r="I104" s="156">
        <v>1266.77</v>
      </c>
      <c r="J104" s="157"/>
      <c r="K104" s="156">
        <v>1266.77</v>
      </c>
      <c r="L104" s="157"/>
      <c r="M104" s="51">
        <f t="shared" ref="M104" si="59">K104/I104*100</f>
        <v>100</v>
      </c>
    </row>
    <row r="105" spans="1:13" x14ac:dyDescent="0.25">
      <c r="A105" s="12">
        <v>3299</v>
      </c>
      <c r="B105" s="4" t="s">
        <v>77</v>
      </c>
      <c r="C105" s="4"/>
      <c r="D105" s="4"/>
      <c r="E105" s="4"/>
      <c r="F105" s="13"/>
      <c r="G105" s="156">
        <v>3070.57</v>
      </c>
      <c r="H105" s="157"/>
      <c r="I105" s="156">
        <v>3070.57</v>
      </c>
      <c r="J105" s="157"/>
      <c r="K105" s="156">
        <v>225</v>
      </c>
      <c r="L105" s="157"/>
      <c r="M105" s="51">
        <f t="shared" si="32"/>
        <v>7.3276297234715377</v>
      </c>
    </row>
    <row r="106" spans="1:13" x14ac:dyDescent="0.25">
      <c r="A106" s="39">
        <v>42</v>
      </c>
      <c r="B106" s="40" t="s">
        <v>88</v>
      </c>
      <c r="C106" s="40"/>
      <c r="D106" s="40"/>
      <c r="E106" s="40"/>
      <c r="F106" s="43"/>
      <c r="G106" s="313">
        <f>G107</f>
        <v>1300</v>
      </c>
      <c r="H106" s="314"/>
      <c r="I106" s="313">
        <f t="shared" ref="I106" si="60">I107</f>
        <v>1300</v>
      </c>
      <c r="J106" s="314"/>
      <c r="K106" s="313">
        <f t="shared" ref="K106" si="61">K107</f>
        <v>3132.34</v>
      </c>
      <c r="L106" s="314"/>
      <c r="M106" s="103">
        <f>K106/I106*100</f>
        <v>240.94923076923078</v>
      </c>
    </row>
    <row r="107" spans="1:13" x14ac:dyDescent="0.25">
      <c r="A107" s="29">
        <v>4221</v>
      </c>
      <c r="B107" s="3" t="s">
        <v>101</v>
      </c>
      <c r="C107" s="3"/>
      <c r="D107" s="3"/>
      <c r="E107" s="3"/>
      <c r="F107" s="30"/>
      <c r="G107" s="156">
        <v>1300</v>
      </c>
      <c r="H107" s="157"/>
      <c r="I107" s="347">
        <v>1300</v>
      </c>
      <c r="J107" s="348"/>
      <c r="K107" s="347">
        <v>3132.34</v>
      </c>
      <c r="L107" s="348"/>
      <c r="M107" s="51">
        <f t="shared" si="32"/>
        <v>240.94923076923078</v>
      </c>
    </row>
    <row r="108" spans="1:13" x14ac:dyDescent="0.25">
      <c r="A108" s="339" t="s">
        <v>127</v>
      </c>
      <c r="B108" s="340"/>
      <c r="C108" s="340"/>
      <c r="D108" s="340"/>
      <c r="E108" s="340"/>
      <c r="F108" s="341"/>
      <c r="G108" s="305">
        <f>G110</f>
        <v>0</v>
      </c>
      <c r="H108" s="306"/>
      <c r="I108" s="305">
        <f t="shared" ref="I108" si="62">I112+I111</f>
        <v>3743.75</v>
      </c>
      <c r="J108" s="306"/>
      <c r="K108" s="305">
        <f t="shared" ref="K108" si="63">K112+K111</f>
        <v>3743.75</v>
      </c>
      <c r="L108" s="306"/>
      <c r="M108" s="311">
        <f t="shared" ref="M108:M109" si="64">K108/I108*100</f>
        <v>100</v>
      </c>
    </row>
    <row r="109" spans="1:13" x14ac:dyDescent="0.25">
      <c r="A109" s="322" t="s">
        <v>116</v>
      </c>
      <c r="B109" s="323"/>
      <c r="C109" s="323"/>
      <c r="D109" s="323"/>
      <c r="E109" s="323"/>
      <c r="F109" s="324"/>
      <c r="G109" s="307"/>
      <c r="H109" s="308"/>
      <c r="I109" s="307"/>
      <c r="J109" s="308"/>
      <c r="K109" s="307"/>
      <c r="L109" s="308"/>
      <c r="M109" s="312" t="e">
        <f t="shared" si="64"/>
        <v>#DIV/0!</v>
      </c>
    </row>
    <row r="110" spans="1:13" x14ac:dyDescent="0.25">
      <c r="A110" s="39">
        <v>32</v>
      </c>
      <c r="B110" s="40" t="s">
        <v>58</v>
      </c>
      <c r="C110" s="40"/>
      <c r="D110" s="40"/>
      <c r="E110" s="40"/>
      <c r="F110" s="43"/>
      <c r="G110" s="313">
        <f>G111+G112</f>
        <v>0</v>
      </c>
      <c r="H110" s="314"/>
      <c r="I110" s="313">
        <f t="shared" ref="I110" si="65">I111+I112</f>
        <v>3743.75</v>
      </c>
      <c r="J110" s="314"/>
      <c r="K110" s="313">
        <f t="shared" ref="K110" si="66">K111+K112</f>
        <v>3743.75</v>
      </c>
      <c r="L110" s="314"/>
      <c r="M110" s="103">
        <f>K110/I110*100</f>
        <v>100</v>
      </c>
    </row>
    <row r="111" spans="1:13" x14ac:dyDescent="0.25">
      <c r="A111" s="12">
        <v>3291</v>
      </c>
      <c r="B111" s="4" t="s">
        <v>180</v>
      </c>
      <c r="C111" s="4"/>
      <c r="D111" s="4"/>
      <c r="E111" s="4"/>
      <c r="F111" s="13"/>
      <c r="G111" s="156"/>
      <c r="H111" s="157"/>
      <c r="I111" s="156">
        <v>893.33</v>
      </c>
      <c r="J111" s="157"/>
      <c r="K111" s="156">
        <v>893.33</v>
      </c>
      <c r="L111" s="157"/>
      <c r="M111" s="51">
        <f>K111/I111*100</f>
        <v>100</v>
      </c>
    </row>
    <row r="112" spans="1:13" x14ac:dyDescent="0.25">
      <c r="A112" s="12">
        <v>3299</v>
      </c>
      <c r="B112" s="4" t="s">
        <v>128</v>
      </c>
      <c r="C112" s="4"/>
      <c r="D112" s="4"/>
      <c r="E112" s="4"/>
      <c r="F112" s="13"/>
      <c r="G112" s="156"/>
      <c r="H112" s="157"/>
      <c r="I112" s="156">
        <v>2850.42</v>
      </c>
      <c r="J112" s="157"/>
      <c r="K112" s="156">
        <v>2850.42</v>
      </c>
      <c r="L112" s="157"/>
      <c r="M112" s="51">
        <f>K112/I112*100</f>
        <v>100</v>
      </c>
    </row>
    <row r="113" spans="1:13" x14ac:dyDescent="0.25">
      <c r="A113" s="339" t="s">
        <v>181</v>
      </c>
      <c r="B113" s="340"/>
      <c r="C113" s="340"/>
      <c r="D113" s="340"/>
      <c r="E113" s="340"/>
      <c r="F113" s="341"/>
      <c r="G113" s="305">
        <f>G115</f>
        <v>0</v>
      </c>
      <c r="H113" s="306"/>
      <c r="I113" s="305">
        <f t="shared" ref="I113" si="67">I115</f>
        <v>730.02</v>
      </c>
      <c r="J113" s="306"/>
      <c r="K113" s="305">
        <f t="shared" ref="K113" si="68">K115</f>
        <v>730.02</v>
      </c>
      <c r="L113" s="306"/>
      <c r="M113" s="311">
        <f t="shared" ref="M113:M114" si="69">K113/I113*100</f>
        <v>100</v>
      </c>
    </row>
    <row r="114" spans="1:13" x14ac:dyDescent="0.25">
      <c r="A114" s="322" t="s">
        <v>182</v>
      </c>
      <c r="B114" s="323"/>
      <c r="C114" s="323"/>
      <c r="D114" s="323"/>
      <c r="E114" s="323"/>
      <c r="F114" s="324"/>
      <c r="G114" s="307"/>
      <c r="H114" s="308"/>
      <c r="I114" s="307"/>
      <c r="J114" s="308"/>
      <c r="K114" s="307"/>
      <c r="L114" s="308"/>
      <c r="M114" s="312" t="e">
        <f t="shared" si="69"/>
        <v>#DIV/0!</v>
      </c>
    </row>
    <row r="115" spans="1:13" x14ac:dyDescent="0.25">
      <c r="A115" s="39">
        <v>32</v>
      </c>
      <c r="B115" s="40" t="s">
        <v>58</v>
      </c>
      <c r="C115" s="40"/>
      <c r="D115" s="40"/>
      <c r="E115" s="40"/>
      <c r="F115" s="43"/>
      <c r="G115" s="313">
        <f>G116</f>
        <v>0</v>
      </c>
      <c r="H115" s="314"/>
      <c r="I115" s="313">
        <f t="shared" ref="I115" si="70">I116</f>
        <v>730.02</v>
      </c>
      <c r="J115" s="314"/>
      <c r="K115" s="313">
        <f t="shared" ref="K115" si="71">K116</f>
        <v>730.02</v>
      </c>
      <c r="L115" s="314"/>
      <c r="M115" s="103">
        <f>K115/I115*100</f>
        <v>100</v>
      </c>
    </row>
    <row r="116" spans="1:13" x14ac:dyDescent="0.25">
      <c r="A116" s="29">
        <v>3237</v>
      </c>
      <c r="B116" s="3" t="s">
        <v>183</v>
      </c>
      <c r="C116" s="3"/>
      <c r="D116" s="3"/>
      <c r="E116" s="3"/>
      <c r="F116" s="30"/>
      <c r="G116" s="337"/>
      <c r="H116" s="338"/>
      <c r="I116" s="337">
        <v>730.02</v>
      </c>
      <c r="J116" s="338"/>
      <c r="K116" s="337">
        <v>730.02</v>
      </c>
      <c r="L116" s="338"/>
      <c r="M116" s="99">
        <f>K116/I116*100</f>
        <v>100</v>
      </c>
    </row>
    <row r="117" spans="1:13" x14ac:dyDescent="0.25">
      <c r="A117" s="339" t="s">
        <v>184</v>
      </c>
      <c r="B117" s="340"/>
      <c r="C117" s="340"/>
      <c r="D117" s="340"/>
      <c r="E117" s="340"/>
      <c r="F117" s="341"/>
      <c r="G117" s="305">
        <f>G119</f>
        <v>0</v>
      </c>
      <c r="H117" s="306"/>
      <c r="I117" s="305">
        <f t="shared" ref="I117" si="72">I119</f>
        <v>1427.2</v>
      </c>
      <c r="J117" s="306"/>
      <c r="K117" s="305">
        <f t="shared" ref="K117" si="73">K119</f>
        <v>1427.2</v>
      </c>
      <c r="L117" s="306"/>
      <c r="M117" s="311">
        <f t="shared" ref="M117:M118" si="74">K117/I117*100</f>
        <v>100</v>
      </c>
    </row>
    <row r="118" spans="1:13" x14ac:dyDescent="0.25">
      <c r="A118" s="322" t="s">
        <v>185</v>
      </c>
      <c r="B118" s="323"/>
      <c r="C118" s="323"/>
      <c r="D118" s="323"/>
      <c r="E118" s="323"/>
      <c r="F118" s="324"/>
      <c r="G118" s="307"/>
      <c r="H118" s="308"/>
      <c r="I118" s="307"/>
      <c r="J118" s="308"/>
      <c r="K118" s="307"/>
      <c r="L118" s="308"/>
      <c r="M118" s="312" t="e">
        <f t="shared" si="74"/>
        <v>#DIV/0!</v>
      </c>
    </row>
    <row r="119" spans="1:13" x14ac:dyDescent="0.25">
      <c r="A119" s="39">
        <v>38</v>
      </c>
      <c r="B119" s="40" t="s">
        <v>166</v>
      </c>
      <c r="C119" s="40"/>
      <c r="D119" s="40"/>
      <c r="E119" s="40"/>
      <c r="F119" s="43"/>
      <c r="G119" s="313">
        <f>G120</f>
        <v>0</v>
      </c>
      <c r="H119" s="314"/>
      <c r="I119" s="313">
        <f t="shared" ref="I119" si="75">I120</f>
        <v>1427.2</v>
      </c>
      <c r="J119" s="314"/>
      <c r="K119" s="313">
        <f t="shared" ref="K119" si="76">K120</f>
        <v>1427.2</v>
      </c>
      <c r="L119" s="314"/>
      <c r="M119" s="103">
        <f>K119/I119*100</f>
        <v>100</v>
      </c>
    </row>
    <row r="120" spans="1:13" x14ac:dyDescent="0.25">
      <c r="A120" s="29">
        <v>3812</v>
      </c>
      <c r="B120" s="3" t="s">
        <v>226</v>
      </c>
      <c r="C120" s="3"/>
      <c r="D120" s="3"/>
      <c r="E120" s="3"/>
      <c r="F120" s="30"/>
      <c r="G120" s="337"/>
      <c r="H120" s="338"/>
      <c r="I120" s="337">
        <v>1427.2</v>
      </c>
      <c r="J120" s="338"/>
      <c r="K120" s="337">
        <v>1427.2</v>
      </c>
      <c r="L120" s="338"/>
      <c r="M120" s="99">
        <f>K120/I120*100</f>
        <v>100</v>
      </c>
    </row>
    <row r="121" spans="1:13" x14ac:dyDescent="0.25">
      <c r="A121" s="352" t="s">
        <v>129</v>
      </c>
      <c r="B121" s="353"/>
      <c r="C121" s="353"/>
      <c r="D121" s="353"/>
      <c r="E121" s="353"/>
      <c r="F121" s="354"/>
      <c r="G121" s="342">
        <f>G122</f>
        <v>0</v>
      </c>
      <c r="H121" s="343"/>
      <c r="I121" s="342">
        <f t="shared" ref="I121" si="77">I122</f>
        <v>6885.7499999999991</v>
      </c>
      <c r="J121" s="343"/>
      <c r="K121" s="342">
        <f t="shared" ref="K121" si="78">K122</f>
        <v>6894.44</v>
      </c>
      <c r="L121" s="343"/>
      <c r="M121" s="56">
        <f>K121/I121*100</f>
        <v>100.12620266492394</v>
      </c>
    </row>
    <row r="122" spans="1:13" x14ac:dyDescent="0.25">
      <c r="A122" s="322" t="s">
        <v>130</v>
      </c>
      <c r="B122" s="323"/>
      <c r="C122" s="323"/>
      <c r="D122" s="323"/>
      <c r="E122" s="323"/>
      <c r="F122" s="324"/>
      <c r="G122" s="328">
        <f>G124+G128</f>
        <v>0</v>
      </c>
      <c r="H122" s="329"/>
      <c r="I122" s="328">
        <f t="shared" ref="I122" si="79">I124+I128</f>
        <v>6885.7499999999991</v>
      </c>
      <c r="J122" s="329"/>
      <c r="K122" s="328">
        <f t="shared" ref="K122" si="80">K124+K128</f>
        <v>6894.44</v>
      </c>
      <c r="L122" s="329"/>
      <c r="M122" s="312">
        <f t="shared" ref="M122:M123" si="81">K122/I122*100</f>
        <v>100.12620266492394</v>
      </c>
    </row>
    <row r="123" spans="1:13" x14ac:dyDescent="0.25">
      <c r="A123" s="322" t="s">
        <v>116</v>
      </c>
      <c r="B123" s="323"/>
      <c r="C123" s="323"/>
      <c r="D123" s="323"/>
      <c r="E123" s="323"/>
      <c r="F123" s="324"/>
      <c r="G123" s="307"/>
      <c r="H123" s="308"/>
      <c r="I123" s="307"/>
      <c r="J123" s="308"/>
      <c r="K123" s="307"/>
      <c r="L123" s="308"/>
      <c r="M123" s="312" t="e">
        <f t="shared" si="81"/>
        <v>#DIV/0!</v>
      </c>
    </row>
    <row r="124" spans="1:13" x14ac:dyDescent="0.25">
      <c r="A124" s="39">
        <v>31</v>
      </c>
      <c r="B124" s="40" t="s">
        <v>52</v>
      </c>
      <c r="C124" s="40"/>
      <c r="D124" s="40"/>
      <c r="E124" s="40"/>
      <c r="F124" s="43"/>
      <c r="G124" s="313">
        <f>G125+G126+G127</f>
        <v>0</v>
      </c>
      <c r="H124" s="314"/>
      <c r="I124" s="313">
        <f t="shared" ref="I124" si="82">I125+I126+I127</f>
        <v>6494.5599999999995</v>
      </c>
      <c r="J124" s="314"/>
      <c r="K124" s="313">
        <f t="shared" ref="K124" si="83">K125+K126+K127</f>
        <v>6503.25</v>
      </c>
      <c r="L124" s="314"/>
      <c r="M124" s="102">
        <f>K124/I124*100</f>
        <v>100.13380429159173</v>
      </c>
    </row>
    <row r="125" spans="1:13" x14ac:dyDescent="0.25">
      <c r="A125" s="29">
        <v>3111</v>
      </c>
      <c r="B125" s="3" t="s">
        <v>54</v>
      </c>
      <c r="C125" s="3"/>
      <c r="D125" s="3"/>
      <c r="E125" s="3"/>
      <c r="F125" s="30"/>
      <c r="G125" s="178"/>
      <c r="H125" s="179"/>
      <c r="I125" s="178">
        <v>4371.78</v>
      </c>
      <c r="J125" s="179"/>
      <c r="K125" s="178">
        <v>4380.47</v>
      </c>
      <c r="L125" s="179"/>
      <c r="M125" s="99">
        <f>K125/I125*100</f>
        <v>100.1987748697327</v>
      </c>
    </row>
    <row r="126" spans="1:13" x14ac:dyDescent="0.25">
      <c r="A126" s="12">
        <v>3121</v>
      </c>
      <c r="B126" s="4" t="s">
        <v>55</v>
      </c>
      <c r="C126" s="4"/>
      <c r="D126" s="4"/>
      <c r="E126" s="4"/>
      <c r="F126" s="13"/>
      <c r="G126" s="156"/>
      <c r="H126" s="157"/>
      <c r="I126" s="156">
        <v>1400</v>
      </c>
      <c r="J126" s="157"/>
      <c r="K126" s="156">
        <v>1400</v>
      </c>
      <c r="L126" s="157"/>
      <c r="M126" s="51">
        <f t="shared" ref="M126:M129" si="84">K126/I126*100</f>
        <v>100</v>
      </c>
    </row>
    <row r="127" spans="1:13" x14ac:dyDescent="0.25">
      <c r="A127" s="12">
        <v>3132</v>
      </c>
      <c r="B127" s="4" t="s">
        <v>131</v>
      </c>
      <c r="C127" s="4"/>
      <c r="D127" s="4"/>
      <c r="E127" s="4"/>
      <c r="F127" s="13"/>
      <c r="G127" s="156"/>
      <c r="H127" s="157"/>
      <c r="I127" s="156">
        <v>722.78</v>
      </c>
      <c r="J127" s="157"/>
      <c r="K127" s="156">
        <v>722.78</v>
      </c>
      <c r="L127" s="157"/>
      <c r="M127" s="51">
        <f t="shared" si="84"/>
        <v>100</v>
      </c>
    </row>
    <row r="128" spans="1:13" x14ac:dyDescent="0.25">
      <c r="A128" s="39">
        <v>32</v>
      </c>
      <c r="B128" s="40" t="s">
        <v>58</v>
      </c>
      <c r="C128" s="40"/>
      <c r="D128" s="40"/>
      <c r="E128" s="40"/>
      <c r="F128" s="43"/>
      <c r="G128" s="313">
        <f>G129</f>
        <v>0</v>
      </c>
      <c r="H128" s="314"/>
      <c r="I128" s="313">
        <f t="shared" ref="I128" si="85">I129</f>
        <v>391.19</v>
      </c>
      <c r="J128" s="314"/>
      <c r="K128" s="313">
        <f t="shared" ref="K128" si="86">K129</f>
        <v>391.19</v>
      </c>
      <c r="L128" s="314"/>
      <c r="M128" s="103">
        <f>K128/I128*100</f>
        <v>100</v>
      </c>
    </row>
    <row r="129" spans="1:13" x14ac:dyDescent="0.25">
      <c r="A129" s="29">
        <v>3212</v>
      </c>
      <c r="B129" s="3" t="s">
        <v>107</v>
      </c>
      <c r="C129" s="3"/>
      <c r="D129" s="3"/>
      <c r="E129" s="3"/>
      <c r="F129" s="30"/>
      <c r="G129" s="347"/>
      <c r="H129" s="348"/>
      <c r="I129" s="347">
        <v>391.19</v>
      </c>
      <c r="J129" s="348"/>
      <c r="K129" s="347">
        <v>391.19</v>
      </c>
      <c r="L129" s="348"/>
      <c r="M129" s="51">
        <f t="shared" si="84"/>
        <v>100</v>
      </c>
    </row>
    <row r="130" spans="1:13" x14ac:dyDescent="0.25">
      <c r="A130" s="352" t="s">
        <v>132</v>
      </c>
      <c r="B130" s="353"/>
      <c r="C130" s="353"/>
      <c r="D130" s="353"/>
      <c r="E130" s="353"/>
      <c r="F130" s="354"/>
      <c r="G130" s="342">
        <f>G131</f>
        <v>859.82</v>
      </c>
      <c r="H130" s="343"/>
      <c r="I130" s="342">
        <f>I131</f>
        <v>859.82</v>
      </c>
      <c r="J130" s="343"/>
      <c r="K130" s="342">
        <f t="shared" ref="K130" si="87">K131</f>
        <v>859.81999999999994</v>
      </c>
      <c r="L130" s="343"/>
      <c r="M130" s="56">
        <f>K130/I130*100</f>
        <v>99.999999999999986</v>
      </c>
    </row>
    <row r="131" spans="1:13" x14ac:dyDescent="0.25">
      <c r="A131" s="322" t="s">
        <v>137</v>
      </c>
      <c r="B131" s="323"/>
      <c r="C131" s="323"/>
      <c r="D131" s="323"/>
      <c r="E131" s="323"/>
      <c r="F131" s="324"/>
      <c r="G131" s="328">
        <f>G133</f>
        <v>859.82</v>
      </c>
      <c r="H131" s="329"/>
      <c r="I131" s="328">
        <f t="shared" ref="I131" si="88">I133</f>
        <v>859.82</v>
      </c>
      <c r="J131" s="329"/>
      <c r="K131" s="328">
        <f t="shared" ref="K131" si="89">K133</f>
        <v>859.81999999999994</v>
      </c>
      <c r="L131" s="329"/>
      <c r="M131" s="312">
        <f t="shared" ref="M131:M132" si="90">K131/I131*100</f>
        <v>99.999999999999986</v>
      </c>
    </row>
    <row r="132" spans="1:13" x14ac:dyDescent="0.25">
      <c r="A132" s="322" t="s">
        <v>125</v>
      </c>
      <c r="B132" s="323"/>
      <c r="C132" s="323"/>
      <c r="D132" s="323"/>
      <c r="E132" s="323"/>
      <c r="F132" s="324"/>
      <c r="G132" s="307"/>
      <c r="H132" s="308"/>
      <c r="I132" s="307"/>
      <c r="J132" s="308"/>
      <c r="K132" s="307"/>
      <c r="L132" s="308"/>
      <c r="M132" s="312" t="e">
        <f t="shared" si="90"/>
        <v>#DIV/0!</v>
      </c>
    </row>
    <row r="133" spans="1:13" x14ac:dyDescent="0.25">
      <c r="A133" s="39">
        <v>32</v>
      </c>
      <c r="B133" s="40" t="s">
        <v>58</v>
      </c>
      <c r="C133" s="40"/>
      <c r="D133" s="40"/>
      <c r="E133" s="40"/>
      <c r="F133" s="43"/>
      <c r="G133" s="313">
        <f>G134+G135</f>
        <v>859.82</v>
      </c>
      <c r="H133" s="314"/>
      <c r="I133" s="313">
        <f t="shared" ref="I133" si="91">I134+I135</f>
        <v>859.82</v>
      </c>
      <c r="J133" s="314"/>
      <c r="K133" s="313">
        <f t="shared" ref="K133" si="92">K134+K135</f>
        <v>859.81999999999994</v>
      </c>
      <c r="L133" s="314"/>
      <c r="M133" s="103">
        <f>K133/I133*100</f>
        <v>99.999999999999986</v>
      </c>
    </row>
    <row r="134" spans="1:13" x14ac:dyDescent="0.25">
      <c r="A134" s="11">
        <v>3211</v>
      </c>
      <c r="B134" s="42" t="s">
        <v>60</v>
      </c>
      <c r="C134" s="42"/>
      <c r="D134" s="42"/>
      <c r="E134" s="42"/>
      <c r="F134" s="41"/>
      <c r="G134" s="178">
        <v>849.82</v>
      </c>
      <c r="H134" s="179"/>
      <c r="I134" s="178">
        <v>849.82</v>
      </c>
      <c r="J134" s="179"/>
      <c r="K134" s="178">
        <v>519.38</v>
      </c>
      <c r="L134" s="179"/>
      <c r="M134" s="99">
        <f>K134/I134*100</f>
        <v>61.116471723423786</v>
      </c>
    </row>
    <row r="135" spans="1:13" x14ac:dyDescent="0.25">
      <c r="A135" s="12">
        <v>3299</v>
      </c>
      <c r="B135" s="4" t="s">
        <v>77</v>
      </c>
      <c r="C135" s="4"/>
      <c r="D135" s="4"/>
      <c r="E135" s="4"/>
      <c r="F135" s="13"/>
      <c r="G135" s="156">
        <v>10</v>
      </c>
      <c r="H135" s="157"/>
      <c r="I135" s="156">
        <v>10</v>
      </c>
      <c r="J135" s="157"/>
      <c r="K135" s="156">
        <v>340.44</v>
      </c>
      <c r="L135" s="157"/>
      <c r="M135" s="51">
        <f t="shared" ref="M135" si="93">K135/I135*100</f>
        <v>3404.3999999999996</v>
      </c>
    </row>
    <row r="136" spans="1:13" x14ac:dyDescent="0.25">
      <c r="A136" s="352" t="s">
        <v>133</v>
      </c>
      <c r="B136" s="353"/>
      <c r="C136" s="353"/>
      <c r="D136" s="353"/>
      <c r="E136" s="353"/>
      <c r="F136" s="354"/>
      <c r="G136" s="342">
        <f>G137+G153</f>
        <v>14729.79</v>
      </c>
      <c r="H136" s="343"/>
      <c r="I136" s="342">
        <f>I137+I153</f>
        <v>44655.87</v>
      </c>
      <c r="J136" s="343"/>
      <c r="K136" s="342">
        <f>K137+K153</f>
        <v>38741.51999999999</v>
      </c>
      <c r="L136" s="343"/>
      <c r="M136" s="56">
        <f t="shared" ref="M136" si="94">K136/I136*100</f>
        <v>86.755716549694341</v>
      </c>
    </row>
    <row r="137" spans="1:13" x14ac:dyDescent="0.25">
      <c r="A137" s="358" t="s">
        <v>134</v>
      </c>
      <c r="B137" s="359"/>
      <c r="C137" s="359"/>
      <c r="D137" s="359"/>
      <c r="E137" s="359"/>
      <c r="F137" s="360"/>
      <c r="G137" s="309">
        <f>G141+G151</f>
        <v>0</v>
      </c>
      <c r="H137" s="310"/>
      <c r="I137" s="309">
        <f>I141+I151</f>
        <v>24846.080000000002</v>
      </c>
      <c r="J137" s="310"/>
      <c r="K137" s="309">
        <f>K141+K151</f>
        <v>18596.959999999995</v>
      </c>
      <c r="L137" s="310"/>
      <c r="M137" s="312">
        <f>K137/I137*100</f>
        <v>74.848668280871649</v>
      </c>
    </row>
    <row r="138" spans="1:13" x14ac:dyDescent="0.25">
      <c r="A138" s="344" t="s">
        <v>168</v>
      </c>
      <c r="B138" s="345"/>
      <c r="C138" s="345"/>
      <c r="D138" s="345"/>
      <c r="E138" s="345"/>
      <c r="F138" s="346"/>
      <c r="G138" s="309"/>
      <c r="H138" s="310"/>
      <c r="I138" s="309"/>
      <c r="J138" s="310"/>
      <c r="K138" s="309"/>
      <c r="L138" s="310"/>
      <c r="M138" s="312"/>
    </row>
    <row r="139" spans="1:13" x14ac:dyDescent="0.25">
      <c r="A139" s="334" t="s">
        <v>172</v>
      </c>
      <c r="B139" s="335"/>
      <c r="C139" s="335"/>
      <c r="D139" s="335"/>
      <c r="E139" s="335"/>
      <c r="F139" s="336"/>
      <c r="G139" s="309"/>
      <c r="H139" s="310"/>
      <c r="I139" s="309"/>
      <c r="J139" s="310"/>
      <c r="K139" s="309"/>
      <c r="L139" s="310"/>
      <c r="M139" s="312"/>
    </row>
    <row r="140" spans="1:13" x14ac:dyDescent="0.25">
      <c r="A140" s="62" t="s">
        <v>173</v>
      </c>
      <c r="B140" s="63"/>
      <c r="C140" s="63"/>
      <c r="D140" s="63"/>
      <c r="E140" s="63"/>
      <c r="F140" s="64"/>
      <c r="G140" s="309"/>
      <c r="H140" s="310"/>
      <c r="I140" s="309"/>
      <c r="J140" s="310"/>
      <c r="K140" s="309"/>
      <c r="L140" s="310"/>
      <c r="M140" s="312"/>
    </row>
    <row r="141" spans="1:13" x14ac:dyDescent="0.25">
      <c r="A141" s="39">
        <v>31</v>
      </c>
      <c r="B141" s="40" t="s">
        <v>52</v>
      </c>
      <c r="C141" s="40"/>
      <c r="D141" s="40"/>
      <c r="E141" s="40"/>
      <c r="F141" s="43"/>
      <c r="G141" s="313">
        <f>SUM(G142:H150)</f>
        <v>0</v>
      </c>
      <c r="H141" s="314"/>
      <c r="I141" s="313">
        <f t="shared" ref="I141" si="95">SUM(I142:J150)</f>
        <v>23978.300000000003</v>
      </c>
      <c r="J141" s="314"/>
      <c r="K141" s="313">
        <f t="shared" ref="K141" si="96">SUM(K142:L150)</f>
        <v>17729.179999999997</v>
      </c>
      <c r="L141" s="314"/>
      <c r="M141" s="102">
        <f>K141/I141*100</f>
        <v>73.938436002552294</v>
      </c>
    </row>
    <row r="142" spans="1:13" ht="15" customHeight="1" x14ac:dyDescent="0.25">
      <c r="A142" s="11">
        <v>3111</v>
      </c>
      <c r="B142" s="42" t="s">
        <v>54</v>
      </c>
      <c r="C142" s="42"/>
      <c r="D142" s="42"/>
      <c r="E142" s="42"/>
      <c r="F142" s="41" t="s">
        <v>156</v>
      </c>
      <c r="G142" s="178"/>
      <c r="H142" s="179"/>
      <c r="I142" s="178">
        <f>7716.48+1428</f>
        <v>9144.48</v>
      </c>
      <c r="J142" s="179"/>
      <c r="K142" s="178">
        <f>7716.48+1428</f>
        <v>9144.48</v>
      </c>
      <c r="L142" s="179"/>
      <c r="M142" s="99">
        <f>K142/I142*100</f>
        <v>100</v>
      </c>
    </row>
    <row r="143" spans="1:13" ht="15" customHeight="1" x14ac:dyDescent="0.25">
      <c r="A143" s="11">
        <v>3111</v>
      </c>
      <c r="B143" s="42" t="s">
        <v>54</v>
      </c>
      <c r="C143" s="42"/>
      <c r="D143" s="42"/>
      <c r="E143" s="42"/>
      <c r="F143" s="41" t="s">
        <v>155</v>
      </c>
      <c r="G143" s="178"/>
      <c r="H143" s="179"/>
      <c r="I143" s="178">
        <v>1204.3</v>
      </c>
      <c r="J143" s="179"/>
      <c r="K143" s="178">
        <v>1204.3</v>
      </c>
      <c r="L143" s="179"/>
      <c r="M143" s="51">
        <f t="shared" ref="M143:M144" si="97">K143/I143*100</f>
        <v>100</v>
      </c>
    </row>
    <row r="144" spans="1:13" x14ac:dyDescent="0.25">
      <c r="A144" s="11">
        <v>3111</v>
      </c>
      <c r="B144" s="42" t="s">
        <v>54</v>
      </c>
      <c r="C144" s="42"/>
      <c r="D144" s="42"/>
      <c r="E144" s="42"/>
      <c r="F144" s="41" t="s">
        <v>158</v>
      </c>
      <c r="G144" s="178"/>
      <c r="H144" s="179"/>
      <c r="I144" s="178">
        <v>3533.36</v>
      </c>
      <c r="J144" s="179"/>
      <c r="K144" s="178">
        <v>3925.12</v>
      </c>
      <c r="L144" s="179"/>
      <c r="M144" s="51">
        <f t="shared" si="97"/>
        <v>111.08746349084157</v>
      </c>
    </row>
    <row r="145" spans="1:13" x14ac:dyDescent="0.25">
      <c r="A145" s="12">
        <v>3111</v>
      </c>
      <c r="B145" s="4" t="s">
        <v>54</v>
      </c>
      <c r="C145" s="4"/>
      <c r="D145" s="4"/>
      <c r="E145" s="4"/>
      <c r="F145" s="13" t="s">
        <v>157</v>
      </c>
      <c r="G145" s="178"/>
      <c r="H145" s="179"/>
      <c r="I145" s="178">
        <f>5620.12+947.13</f>
        <v>6567.25</v>
      </c>
      <c r="J145" s="179"/>
      <c r="K145" s="178">
        <v>0</v>
      </c>
      <c r="L145" s="179"/>
      <c r="M145" s="51">
        <f t="shared" ref="M145" si="98">K145/I145*100</f>
        <v>0</v>
      </c>
    </row>
    <row r="146" spans="1:13" x14ac:dyDescent="0.25">
      <c r="A146" s="12">
        <v>3121</v>
      </c>
      <c r="B146" s="4" t="s">
        <v>55</v>
      </c>
      <c r="C146" s="4"/>
      <c r="D146" s="4"/>
      <c r="E146" s="4"/>
      <c r="F146" s="13" t="s">
        <v>158</v>
      </c>
      <c r="G146" s="156"/>
      <c r="H146" s="157"/>
      <c r="I146" s="156">
        <v>1100</v>
      </c>
      <c r="J146" s="157"/>
      <c r="K146" s="156">
        <v>1100</v>
      </c>
      <c r="L146" s="157"/>
      <c r="M146" s="51">
        <f t="shared" ref="M146" si="99">K146/I146*100</f>
        <v>100</v>
      </c>
    </row>
    <row r="147" spans="1:13" x14ac:dyDescent="0.25">
      <c r="A147" s="12">
        <v>3132</v>
      </c>
      <c r="B147" s="4" t="s">
        <v>56</v>
      </c>
      <c r="C147" s="4"/>
      <c r="D147" s="4"/>
      <c r="E147" s="4"/>
      <c r="F147" s="13" t="s">
        <v>156</v>
      </c>
      <c r="G147" s="156"/>
      <c r="H147" s="157"/>
      <c r="I147" s="156">
        <v>345.9</v>
      </c>
      <c r="J147" s="157"/>
      <c r="K147" s="156">
        <v>345.9</v>
      </c>
      <c r="L147" s="157"/>
      <c r="M147" s="51">
        <f t="shared" ref="M147:M153" si="100">K147/I147*100</f>
        <v>100</v>
      </c>
    </row>
    <row r="148" spans="1:13" x14ac:dyDescent="0.25">
      <c r="A148" s="12">
        <v>3132</v>
      </c>
      <c r="B148" s="4" t="s">
        <v>169</v>
      </c>
      <c r="C148" s="4"/>
      <c r="D148" s="4"/>
      <c r="E148" s="4"/>
      <c r="F148" s="13" t="s">
        <v>155</v>
      </c>
      <c r="G148" s="156"/>
      <c r="H148" s="157"/>
      <c r="I148" s="156">
        <f>198.72+154.62</f>
        <v>353.34000000000003</v>
      </c>
      <c r="J148" s="157"/>
      <c r="K148" s="156">
        <f>198.72+154.62</f>
        <v>353.34000000000003</v>
      </c>
      <c r="L148" s="157"/>
      <c r="M148" s="51">
        <f t="shared" ref="M148:M149" si="101">K148/I148*100</f>
        <v>100</v>
      </c>
    </row>
    <row r="149" spans="1:13" x14ac:dyDescent="0.25">
      <c r="A149" s="12">
        <v>3132</v>
      </c>
      <c r="B149" s="4" t="s">
        <v>56</v>
      </c>
      <c r="C149" s="4"/>
      <c r="D149" s="4"/>
      <c r="E149" s="4"/>
      <c r="F149" s="13" t="s">
        <v>158</v>
      </c>
      <c r="G149" s="156"/>
      <c r="H149" s="157"/>
      <c r="I149" s="156">
        <f>1575.04+81</f>
        <v>1656.04</v>
      </c>
      <c r="J149" s="157"/>
      <c r="K149" s="156">
        <f>1575.04+81</f>
        <v>1656.04</v>
      </c>
      <c r="L149" s="157"/>
      <c r="M149" s="51">
        <f t="shared" si="101"/>
        <v>100</v>
      </c>
    </row>
    <row r="150" spans="1:13" x14ac:dyDescent="0.25">
      <c r="A150" s="12">
        <v>3132</v>
      </c>
      <c r="B150" s="4" t="s">
        <v>56</v>
      </c>
      <c r="C150" s="4"/>
      <c r="D150" s="4"/>
      <c r="E150" s="4"/>
      <c r="F150" s="13" t="s">
        <v>157</v>
      </c>
      <c r="G150" s="156"/>
      <c r="H150" s="157"/>
      <c r="I150" s="156">
        <v>73.63</v>
      </c>
      <c r="J150" s="157"/>
      <c r="K150" s="156">
        <v>0</v>
      </c>
      <c r="L150" s="157"/>
      <c r="M150" s="51">
        <f t="shared" ref="M150" si="102">K150/I150*100</f>
        <v>0</v>
      </c>
    </row>
    <row r="151" spans="1:13" x14ac:dyDescent="0.25">
      <c r="A151" s="39">
        <v>32</v>
      </c>
      <c r="B151" s="40" t="s">
        <v>58</v>
      </c>
      <c r="C151" s="40"/>
      <c r="D151" s="40"/>
      <c r="E151" s="40"/>
      <c r="F151" s="43"/>
      <c r="G151" s="313">
        <f>G152</f>
        <v>0</v>
      </c>
      <c r="H151" s="314"/>
      <c r="I151" s="313">
        <f t="shared" ref="I151" si="103">I152</f>
        <v>867.78</v>
      </c>
      <c r="J151" s="314"/>
      <c r="K151" s="313">
        <f t="shared" ref="K151" si="104">K152</f>
        <v>867.78</v>
      </c>
      <c r="L151" s="314"/>
      <c r="M151" s="103">
        <f>K151/I151*100</f>
        <v>100</v>
      </c>
    </row>
    <row r="152" spans="1:13" x14ac:dyDescent="0.25">
      <c r="A152" s="29">
        <v>3212</v>
      </c>
      <c r="B152" s="34" t="s">
        <v>135</v>
      </c>
      <c r="C152" s="3"/>
      <c r="D152" s="3"/>
      <c r="E152" s="3"/>
      <c r="F152" s="30" t="s">
        <v>158</v>
      </c>
      <c r="G152" s="347"/>
      <c r="H152" s="348"/>
      <c r="I152" s="347">
        <v>867.78</v>
      </c>
      <c r="J152" s="348"/>
      <c r="K152" s="347">
        <v>867.78</v>
      </c>
      <c r="L152" s="348"/>
      <c r="M152" s="51">
        <f t="shared" si="100"/>
        <v>100</v>
      </c>
    </row>
    <row r="153" spans="1:13" x14ac:dyDescent="0.25">
      <c r="A153" s="349" t="s">
        <v>136</v>
      </c>
      <c r="B153" s="350"/>
      <c r="C153" s="350"/>
      <c r="D153" s="350"/>
      <c r="E153" s="350"/>
      <c r="F153" s="351"/>
      <c r="G153" s="307">
        <f>G156</f>
        <v>14729.79</v>
      </c>
      <c r="H153" s="308"/>
      <c r="I153" s="307">
        <f>I156</f>
        <v>19809.79</v>
      </c>
      <c r="J153" s="308"/>
      <c r="K153" s="307">
        <f t="shared" ref="K153" si="105">K156</f>
        <v>20144.559999999998</v>
      </c>
      <c r="L153" s="308"/>
      <c r="M153" s="311">
        <f t="shared" si="100"/>
        <v>101.68992200321152</v>
      </c>
    </row>
    <row r="154" spans="1:13" x14ac:dyDescent="0.25">
      <c r="A154" s="344" t="s">
        <v>186</v>
      </c>
      <c r="B154" s="345"/>
      <c r="C154" s="345"/>
      <c r="D154" s="345"/>
      <c r="E154" s="345"/>
      <c r="F154" s="346"/>
      <c r="G154" s="309"/>
      <c r="H154" s="310"/>
      <c r="I154" s="309"/>
      <c r="J154" s="310"/>
      <c r="K154" s="309"/>
      <c r="L154" s="310"/>
      <c r="M154" s="312"/>
    </row>
    <row r="155" spans="1:13" x14ac:dyDescent="0.25">
      <c r="A155" s="334" t="s">
        <v>187</v>
      </c>
      <c r="B155" s="335"/>
      <c r="C155" s="335"/>
      <c r="D155" s="335"/>
      <c r="E155" s="335"/>
      <c r="F155" s="336"/>
      <c r="G155" s="309"/>
      <c r="H155" s="310"/>
      <c r="I155" s="309"/>
      <c r="J155" s="310"/>
      <c r="K155" s="309"/>
      <c r="L155" s="310"/>
      <c r="M155" s="312"/>
    </row>
    <row r="156" spans="1:13" x14ac:dyDescent="0.25">
      <c r="A156" s="39">
        <v>32</v>
      </c>
      <c r="B156" s="40" t="s">
        <v>58</v>
      </c>
      <c r="C156" s="40"/>
      <c r="D156" s="40"/>
      <c r="E156" s="40"/>
      <c r="F156" s="43"/>
      <c r="G156" s="313">
        <f>SUM(G157:H160)</f>
        <v>14729.79</v>
      </c>
      <c r="H156" s="314"/>
      <c r="I156" s="313">
        <f t="shared" ref="I156" si="106">SUM(I157:J160)</f>
        <v>19809.79</v>
      </c>
      <c r="J156" s="314"/>
      <c r="K156" s="313">
        <f t="shared" ref="K156" si="107">SUM(K157:L160)</f>
        <v>20144.559999999998</v>
      </c>
      <c r="L156" s="314"/>
      <c r="M156" s="103">
        <f>K156/I156*100</f>
        <v>101.68992200321152</v>
      </c>
    </row>
    <row r="157" spans="1:13" x14ac:dyDescent="0.25">
      <c r="A157" s="11">
        <v>3211</v>
      </c>
      <c r="B157" s="44" t="s">
        <v>60</v>
      </c>
      <c r="C157" s="45"/>
      <c r="D157" s="45"/>
      <c r="E157" s="45"/>
      <c r="F157" s="41" t="s">
        <v>154</v>
      </c>
      <c r="G157" s="178">
        <v>9729.7900000000009</v>
      </c>
      <c r="H157" s="179"/>
      <c r="I157" s="178">
        <v>9729.7900000000009</v>
      </c>
      <c r="J157" s="179"/>
      <c r="K157" s="178">
        <v>10072.799999999999</v>
      </c>
      <c r="L157" s="179"/>
      <c r="M157" s="99">
        <f t="shared" ref="M157:M159" si="108">K157/I157*100</f>
        <v>103.52535871791682</v>
      </c>
    </row>
    <row r="158" spans="1:13" x14ac:dyDescent="0.25">
      <c r="A158" s="12">
        <v>3211</v>
      </c>
      <c r="B158" s="72" t="s">
        <v>60</v>
      </c>
      <c r="C158" s="73"/>
      <c r="D158" s="73"/>
      <c r="E158" s="73"/>
      <c r="F158" s="13" t="s">
        <v>188</v>
      </c>
      <c r="G158" s="178"/>
      <c r="H158" s="179"/>
      <c r="I158" s="178">
        <v>4000</v>
      </c>
      <c r="J158" s="179"/>
      <c r="K158" s="178">
        <v>4334.2299999999996</v>
      </c>
      <c r="L158" s="179"/>
      <c r="M158" s="99">
        <f t="shared" si="108"/>
        <v>108.35575</v>
      </c>
    </row>
    <row r="159" spans="1:13" x14ac:dyDescent="0.25">
      <c r="A159" s="12">
        <v>3213</v>
      </c>
      <c r="B159" s="72" t="s">
        <v>189</v>
      </c>
      <c r="C159" s="73"/>
      <c r="D159" s="73"/>
      <c r="E159" s="73"/>
      <c r="F159" s="13" t="s">
        <v>154</v>
      </c>
      <c r="G159" s="178">
        <v>5000</v>
      </c>
      <c r="H159" s="179"/>
      <c r="I159" s="178">
        <v>5000</v>
      </c>
      <c r="J159" s="179"/>
      <c r="K159" s="178">
        <v>4656.99</v>
      </c>
      <c r="L159" s="179"/>
      <c r="M159" s="99">
        <f t="shared" si="108"/>
        <v>93.139799999999994</v>
      </c>
    </row>
    <row r="160" spans="1:13" ht="15.75" thickBot="1" x14ac:dyDescent="0.3">
      <c r="A160" s="46">
        <v>3213</v>
      </c>
      <c r="B160" s="47" t="s">
        <v>138</v>
      </c>
      <c r="C160" s="48"/>
      <c r="D160" s="48"/>
      <c r="E160" s="48"/>
      <c r="F160" s="70" t="s">
        <v>188</v>
      </c>
      <c r="G160" s="296"/>
      <c r="H160" s="297"/>
      <c r="I160" s="296">
        <v>1080</v>
      </c>
      <c r="J160" s="297"/>
      <c r="K160" s="296">
        <v>1080.54</v>
      </c>
      <c r="L160" s="297"/>
      <c r="M160" s="52">
        <f>K160/I160*100</f>
        <v>100.05</v>
      </c>
    </row>
    <row r="161" spans="6:6" x14ac:dyDescent="0.25">
      <c r="F161" s="71"/>
    </row>
  </sheetData>
  <customSheetViews>
    <customSheetView guid="{005C429F-8448-44DF-83AD-8A930973E873}" topLeftCell="A22">
      <selection activeCell="G131" sqref="G131:H131"/>
      <rowBreaks count="1" manualBreakCount="1">
        <brk id="54" max="16383" man="1"/>
      </rowBreaks>
      <pageMargins left="0.7" right="0.7" top="0.75" bottom="0.75" header="0.3" footer="0.3"/>
      <pageSetup paperSize="9" scale="63" orientation="portrait" r:id="rId1"/>
    </customSheetView>
  </customSheetViews>
  <mergeCells count="458">
    <mergeCell ref="B13:F13"/>
    <mergeCell ref="G18:H18"/>
    <mergeCell ref="I18:J18"/>
    <mergeCell ref="K18:L18"/>
    <mergeCell ref="K14:L14"/>
    <mergeCell ref="G15:H15"/>
    <mergeCell ref="I15:J15"/>
    <mergeCell ref="K15:L15"/>
    <mergeCell ref="G16:H16"/>
    <mergeCell ref="I16:J16"/>
    <mergeCell ref="K16:L16"/>
    <mergeCell ref="G17:H17"/>
    <mergeCell ref="I17:J17"/>
    <mergeCell ref="K17:L17"/>
    <mergeCell ref="G151:H151"/>
    <mergeCell ref="I151:J151"/>
    <mergeCell ref="K151:L151"/>
    <mergeCell ref="G141:H141"/>
    <mergeCell ref="I141:J141"/>
    <mergeCell ref="K141:L141"/>
    <mergeCell ref="K135:L135"/>
    <mergeCell ref="K137:L140"/>
    <mergeCell ref="G156:H156"/>
    <mergeCell ref="I156:J156"/>
    <mergeCell ref="K156:L156"/>
    <mergeCell ref="G150:H150"/>
    <mergeCell ref="G152:H152"/>
    <mergeCell ref="G149:H149"/>
    <mergeCell ref="I147:J147"/>
    <mergeCell ref="I146:J146"/>
    <mergeCell ref="G145:H145"/>
    <mergeCell ref="G142:H142"/>
    <mergeCell ref="G143:H143"/>
    <mergeCell ref="I153:J155"/>
    <mergeCell ref="K153:L155"/>
    <mergeCell ref="G115:H115"/>
    <mergeCell ref="I115:J115"/>
    <mergeCell ref="K115:L115"/>
    <mergeCell ref="I112:J112"/>
    <mergeCell ref="G128:H128"/>
    <mergeCell ref="I128:J128"/>
    <mergeCell ref="K128:L128"/>
    <mergeCell ref="I124:J124"/>
    <mergeCell ref="K124:L124"/>
    <mergeCell ref="I121:J121"/>
    <mergeCell ref="G120:H120"/>
    <mergeCell ref="G116:H116"/>
    <mergeCell ref="G117:H118"/>
    <mergeCell ref="K116:L116"/>
    <mergeCell ref="G119:H119"/>
    <mergeCell ref="G124:H124"/>
    <mergeCell ref="A5:M5"/>
    <mergeCell ref="G160:H160"/>
    <mergeCell ref="G153:H155"/>
    <mergeCell ref="G157:H157"/>
    <mergeCell ref="G158:H158"/>
    <mergeCell ref="G159:H159"/>
    <mergeCell ref="I160:J160"/>
    <mergeCell ref="G147:H147"/>
    <mergeCell ref="G148:H148"/>
    <mergeCell ref="I143:J143"/>
    <mergeCell ref="K143:L143"/>
    <mergeCell ref="G121:H121"/>
    <mergeCell ref="G122:H123"/>
    <mergeCell ref="G125:H125"/>
    <mergeCell ref="G126:H126"/>
    <mergeCell ref="G144:H144"/>
    <mergeCell ref="G127:H127"/>
    <mergeCell ref="G129:H129"/>
    <mergeCell ref="G133:H133"/>
    <mergeCell ref="G130:H130"/>
    <mergeCell ref="I144:J144"/>
    <mergeCell ref="G146:H146"/>
    <mergeCell ref="I117:J118"/>
    <mergeCell ref="G102:H102"/>
    <mergeCell ref="G101:H101"/>
    <mergeCell ref="I107:J107"/>
    <mergeCell ref="A113:F113"/>
    <mergeCell ref="I113:J114"/>
    <mergeCell ref="K113:L114"/>
    <mergeCell ref="A114:F114"/>
    <mergeCell ref="K107:L107"/>
    <mergeCell ref="G111:H111"/>
    <mergeCell ref="I111:J111"/>
    <mergeCell ref="K111:L111"/>
    <mergeCell ref="G104:H104"/>
    <mergeCell ref="G112:H112"/>
    <mergeCell ref="G113:H114"/>
    <mergeCell ref="G103:H103"/>
    <mergeCell ref="G105:H105"/>
    <mergeCell ref="G107:H107"/>
    <mergeCell ref="G108:H109"/>
    <mergeCell ref="I108:J109"/>
    <mergeCell ref="I103:J103"/>
    <mergeCell ref="I102:J102"/>
    <mergeCell ref="K108:L109"/>
    <mergeCell ref="G110:H110"/>
    <mergeCell ref="I110:J110"/>
    <mergeCell ref="K112:L112"/>
    <mergeCell ref="G100:H100"/>
    <mergeCell ref="I100:J100"/>
    <mergeCell ref="K100:L100"/>
    <mergeCell ref="G96:H96"/>
    <mergeCell ref="G98:H98"/>
    <mergeCell ref="G106:H106"/>
    <mergeCell ref="I106:J106"/>
    <mergeCell ref="G88:H88"/>
    <mergeCell ref="G90:H90"/>
    <mergeCell ref="I104:J104"/>
    <mergeCell ref="G99:H99"/>
    <mergeCell ref="I99:J99"/>
    <mergeCell ref="K99:L99"/>
    <mergeCell ref="K98:L98"/>
    <mergeCell ref="K91:L91"/>
    <mergeCell ref="K93:L93"/>
    <mergeCell ref="K94:L94"/>
    <mergeCell ref="I94:J94"/>
    <mergeCell ref="K96:L96"/>
    <mergeCell ref="K90:L90"/>
    <mergeCell ref="K105:L105"/>
    <mergeCell ref="K106:L106"/>
    <mergeCell ref="K102:L102"/>
    <mergeCell ref="I105:J105"/>
    <mergeCell ref="G68:H68"/>
    <mergeCell ref="I68:J68"/>
    <mergeCell ref="K68:L68"/>
    <mergeCell ref="G69:H69"/>
    <mergeCell ref="K69:L69"/>
    <mergeCell ref="G95:H95"/>
    <mergeCell ref="I95:J95"/>
    <mergeCell ref="K95:L95"/>
    <mergeCell ref="G91:H91"/>
    <mergeCell ref="G93:H93"/>
    <mergeCell ref="G94:H94"/>
    <mergeCell ref="G75:H75"/>
    <mergeCell ref="G73:H73"/>
    <mergeCell ref="K89:L89"/>
    <mergeCell ref="G92:H92"/>
    <mergeCell ref="I92:J92"/>
    <mergeCell ref="K92:L92"/>
    <mergeCell ref="I90:J90"/>
    <mergeCell ref="G86:H86"/>
    <mergeCell ref="G85:H85"/>
    <mergeCell ref="K77:L77"/>
    <mergeCell ref="K71:L72"/>
    <mergeCell ref="K73:L73"/>
    <mergeCell ref="G77:H77"/>
    <mergeCell ref="G70:H70"/>
    <mergeCell ref="G71:H72"/>
    <mergeCell ref="I98:J98"/>
    <mergeCell ref="G74:H74"/>
    <mergeCell ref="I74:J74"/>
    <mergeCell ref="G76:H76"/>
    <mergeCell ref="I76:J76"/>
    <mergeCell ref="G79:H79"/>
    <mergeCell ref="I79:J79"/>
    <mergeCell ref="G82:H82"/>
    <mergeCell ref="I82:J82"/>
    <mergeCell ref="G84:H84"/>
    <mergeCell ref="I84:J84"/>
    <mergeCell ref="G89:H89"/>
    <mergeCell ref="I89:J89"/>
    <mergeCell ref="G97:H97"/>
    <mergeCell ref="I97:J97"/>
    <mergeCell ref="G78:H78"/>
    <mergeCell ref="G80:H80"/>
    <mergeCell ref="G81:H81"/>
    <mergeCell ref="G83:H83"/>
    <mergeCell ref="I73:J73"/>
    <mergeCell ref="G43:H43"/>
    <mergeCell ref="G44:H44"/>
    <mergeCell ref="G45:H45"/>
    <mergeCell ref="G46:H46"/>
    <mergeCell ref="G50:H50"/>
    <mergeCell ref="G54:H54"/>
    <mergeCell ref="I86:J86"/>
    <mergeCell ref="I87:J87"/>
    <mergeCell ref="I88:J88"/>
    <mergeCell ref="I85:J85"/>
    <mergeCell ref="I46:J46"/>
    <mergeCell ref="G59:H59"/>
    <mergeCell ref="G60:H60"/>
    <mergeCell ref="G62:H62"/>
    <mergeCell ref="G63:H63"/>
    <mergeCell ref="G64:H65"/>
    <mergeCell ref="G66:H66"/>
    <mergeCell ref="G67:H67"/>
    <mergeCell ref="G87:H87"/>
    <mergeCell ref="I78:J78"/>
    <mergeCell ref="I80:J80"/>
    <mergeCell ref="I81:J81"/>
    <mergeCell ref="I83:J83"/>
    <mergeCell ref="I50:J50"/>
    <mergeCell ref="I134:J134"/>
    <mergeCell ref="I135:J135"/>
    <mergeCell ref="I122:J123"/>
    <mergeCell ref="I125:J125"/>
    <mergeCell ref="K146:L146"/>
    <mergeCell ref="I149:J149"/>
    <mergeCell ref="K149:L149"/>
    <mergeCell ref="K130:L130"/>
    <mergeCell ref="M117:M118"/>
    <mergeCell ref="K129:L129"/>
    <mergeCell ref="K121:L121"/>
    <mergeCell ref="K122:L123"/>
    <mergeCell ref="K125:L125"/>
    <mergeCell ref="K126:L126"/>
    <mergeCell ref="K127:L127"/>
    <mergeCell ref="I126:J126"/>
    <mergeCell ref="I127:J127"/>
    <mergeCell ref="M137:M140"/>
    <mergeCell ref="K133:L133"/>
    <mergeCell ref="I133:J133"/>
    <mergeCell ref="I119:J119"/>
    <mergeCell ref="K119:L119"/>
    <mergeCell ref="K120:L120"/>
    <mergeCell ref="I129:J129"/>
    <mergeCell ref="M21:M22"/>
    <mergeCell ref="M55:M56"/>
    <mergeCell ref="M64:M65"/>
    <mergeCell ref="M131:M132"/>
    <mergeCell ref="M122:M123"/>
    <mergeCell ref="M108:M109"/>
    <mergeCell ref="M71:M72"/>
    <mergeCell ref="I130:J130"/>
    <mergeCell ref="I131:J132"/>
    <mergeCell ref="M113:M114"/>
    <mergeCell ref="K75:L75"/>
    <mergeCell ref="K103:L103"/>
    <mergeCell ref="K76:L76"/>
    <mergeCell ref="K79:L79"/>
    <mergeCell ref="K70:L70"/>
    <mergeCell ref="I101:J101"/>
    <mergeCell ref="K101:L101"/>
    <mergeCell ref="I96:J96"/>
    <mergeCell ref="K85:L85"/>
    <mergeCell ref="K78:L78"/>
    <mergeCell ref="K80:L80"/>
    <mergeCell ref="K81:L81"/>
    <mergeCell ref="K83:L83"/>
    <mergeCell ref="K67:L67"/>
    <mergeCell ref="M153:M155"/>
    <mergeCell ref="K104:L104"/>
    <mergeCell ref="K97:L97"/>
    <mergeCell ref="K39:L39"/>
    <mergeCell ref="K40:L40"/>
    <mergeCell ref="K41:L41"/>
    <mergeCell ref="K42:L42"/>
    <mergeCell ref="K82:L82"/>
    <mergeCell ref="K84:L84"/>
    <mergeCell ref="K86:L86"/>
    <mergeCell ref="K87:L87"/>
    <mergeCell ref="K88:L88"/>
    <mergeCell ref="K117:L118"/>
    <mergeCell ref="K134:L134"/>
    <mergeCell ref="K110:L110"/>
    <mergeCell ref="K29:L29"/>
    <mergeCell ref="K30:L30"/>
    <mergeCell ref="K31:L31"/>
    <mergeCell ref="K32:L32"/>
    <mergeCell ref="K33:L33"/>
    <mergeCell ref="K34:L34"/>
    <mergeCell ref="K35:L35"/>
    <mergeCell ref="K36:L36"/>
    <mergeCell ref="K66:L66"/>
    <mergeCell ref="K60:L60"/>
    <mergeCell ref="K62:L62"/>
    <mergeCell ref="K63:L63"/>
    <mergeCell ref="K64:L65"/>
    <mergeCell ref="K54:L54"/>
    <mergeCell ref="K55:L56"/>
    <mergeCell ref="K58:L58"/>
    <mergeCell ref="K59:L59"/>
    <mergeCell ref="K61:L61"/>
    <mergeCell ref="K43:L43"/>
    <mergeCell ref="K44:L44"/>
    <mergeCell ref="K45:L45"/>
    <mergeCell ref="K46:L46"/>
    <mergeCell ref="K37:L37"/>
    <mergeCell ref="K38:L38"/>
    <mergeCell ref="K19:L19"/>
    <mergeCell ref="K20:L20"/>
    <mergeCell ref="K21:L22"/>
    <mergeCell ref="K23:L23"/>
    <mergeCell ref="K24:L24"/>
    <mergeCell ref="K25:L25"/>
    <mergeCell ref="K26:L26"/>
    <mergeCell ref="K27:L27"/>
    <mergeCell ref="K28:L28"/>
    <mergeCell ref="I67:J67"/>
    <mergeCell ref="I71:J72"/>
    <mergeCell ref="I75:J75"/>
    <mergeCell ref="I77:J77"/>
    <mergeCell ref="I43:J43"/>
    <mergeCell ref="I44:J44"/>
    <mergeCell ref="I45:J45"/>
    <mergeCell ref="K74:L74"/>
    <mergeCell ref="I40:J40"/>
    <mergeCell ref="I41:J41"/>
    <mergeCell ref="I42:J42"/>
    <mergeCell ref="I70:J70"/>
    <mergeCell ref="I59:J59"/>
    <mergeCell ref="I60:J60"/>
    <mergeCell ref="I62:J62"/>
    <mergeCell ref="I63:J63"/>
    <mergeCell ref="I64:J65"/>
    <mergeCell ref="I66:J66"/>
    <mergeCell ref="I69:J69"/>
    <mergeCell ref="I54:J54"/>
    <mergeCell ref="I55:J56"/>
    <mergeCell ref="I58:J58"/>
    <mergeCell ref="I23:J23"/>
    <mergeCell ref="I24:J24"/>
    <mergeCell ref="I25:J25"/>
    <mergeCell ref="I26:J26"/>
    <mergeCell ref="I27:J27"/>
    <mergeCell ref="I39:J39"/>
    <mergeCell ref="I34:J34"/>
    <mergeCell ref="I35:J35"/>
    <mergeCell ref="I36:J36"/>
    <mergeCell ref="I28:J28"/>
    <mergeCell ref="I29:J29"/>
    <mergeCell ref="I37:J37"/>
    <mergeCell ref="I38:J38"/>
    <mergeCell ref="I30:J30"/>
    <mergeCell ref="I31:J31"/>
    <mergeCell ref="I32:J32"/>
    <mergeCell ref="I33:J33"/>
    <mergeCell ref="A153:F153"/>
    <mergeCell ref="A91:F91"/>
    <mergeCell ref="A117:F117"/>
    <mergeCell ref="A118:F118"/>
    <mergeCell ref="A73:F73"/>
    <mergeCell ref="A47:F47"/>
    <mergeCell ref="A51:F51"/>
    <mergeCell ref="A52:F52"/>
    <mergeCell ref="A55:F55"/>
    <mergeCell ref="A56:F56"/>
    <mergeCell ref="A78:F78"/>
    <mergeCell ref="A63:F63"/>
    <mergeCell ref="A64:F64"/>
    <mergeCell ref="A81:F81"/>
    <mergeCell ref="A71:F72"/>
    <mergeCell ref="A65:F65"/>
    <mergeCell ref="A96:F96"/>
    <mergeCell ref="A132:F132"/>
    <mergeCell ref="A130:F130"/>
    <mergeCell ref="A136:F136"/>
    <mergeCell ref="A137:F137"/>
    <mergeCell ref="A109:F109"/>
    <mergeCell ref="A121:F121"/>
    <mergeCell ref="A122:F122"/>
    <mergeCell ref="A123:F123"/>
    <mergeCell ref="A131:F131"/>
    <mergeCell ref="K160:L160"/>
    <mergeCell ref="K136:L136"/>
    <mergeCell ref="K142:L142"/>
    <mergeCell ref="K147:L147"/>
    <mergeCell ref="I157:J157"/>
    <mergeCell ref="K157:L157"/>
    <mergeCell ref="I158:J158"/>
    <mergeCell ref="K158:L158"/>
    <mergeCell ref="I159:J159"/>
    <mergeCell ref="K159:L159"/>
    <mergeCell ref="I150:J150"/>
    <mergeCell ref="K150:L150"/>
    <mergeCell ref="K144:L144"/>
    <mergeCell ref="I137:J140"/>
    <mergeCell ref="I145:J145"/>
    <mergeCell ref="K145:L145"/>
    <mergeCell ref="K152:L152"/>
    <mergeCell ref="I152:J152"/>
    <mergeCell ref="K148:L148"/>
    <mergeCell ref="I148:J148"/>
    <mergeCell ref="I136:J136"/>
    <mergeCell ref="I142:J142"/>
    <mergeCell ref="A155:F155"/>
    <mergeCell ref="A139:F139"/>
    <mergeCell ref="I116:J116"/>
    <mergeCell ref="K131:L132"/>
    <mergeCell ref="I91:J91"/>
    <mergeCell ref="I93:J93"/>
    <mergeCell ref="A94:F94"/>
    <mergeCell ref="A108:F108"/>
    <mergeCell ref="G49:H49"/>
    <mergeCell ref="I49:J49"/>
    <mergeCell ref="K49:L49"/>
    <mergeCell ref="G57:H57"/>
    <mergeCell ref="I57:J57"/>
    <mergeCell ref="K57:L57"/>
    <mergeCell ref="G61:H61"/>
    <mergeCell ref="I61:J61"/>
    <mergeCell ref="I120:J120"/>
    <mergeCell ref="G135:H135"/>
    <mergeCell ref="G136:H136"/>
    <mergeCell ref="G131:H132"/>
    <mergeCell ref="G134:H134"/>
    <mergeCell ref="G137:H140"/>
    <mergeCell ref="A154:F154"/>
    <mergeCell ref="A138:F138"/>
    <mergeCell ref="A7:M7"/>
    <mergeCell ref="A20:F20"/>
    <mergeCell ref="A19:F19"/>
    <mergeCell ref="A21:F21"/>
    <mergeCell ref="A22:F22"/>
    <mergeCell ref="K9:L10"/>
    <mergeCell ref="K11:L11"/>
    <mergeCell ref="A9:F10"/>
    <mergeCell ref="A11:F11"/>
    <mergeCell ref="I9:J10"/>
    <mergeCell ref="I11:J11"/>
    <mergeCell ref="I19:J19"/>
    <mergeCell ref="I20:J20"/>
    <mergeCell ref="I21:J22"/>
    <mergeCell ref="G9:H10"/>
    <mergeCell ref="G11:H11"/>
    <mergeCell ref="G19:H19"/>
    <mergeCell ref="G20:H20"/>
    <mergeCell ref="G21:H22"/>
    <mergeCell ref="G13:H13"/>
    <mergeCell ref="I13:J13"/>
    <mergeCell ref="K13:L13"/>
    <mergeCell ref="G14:H14"/>
    <mergeCell ref="I14:J14"/>
    <mergeCell ref="G23:H23"/>
    <mergeCell ref="G24:H24"/>
    <mergeCell ref="G25:H25"/>
    <mergeCell ref="G41:H41"/>
    <mergeCell ref="G42:H42"/>
    <mergeCell ref="G34:H34"/>
    <mergeCell ref="G35:H35"/>
    <mergeCell ref="G36:H36"/>
    <mergeCell ref="G37:H37"/>
    <mergeCell ref="G38:H38"/>
    <mergeCell ref="G39:H39"/>
    <mergeCell ref="G40:H40"/>
    <mergeCell ref="G26:H26"/>
    <mergeCell ref="G27:H27"/>
    <mergeCell ref="G28:H28"/>
    <mergeCell ref="G29:H29"/>
    <mergeCell ref="G30:H30"/>
    <mergeCell ref="G31:H31"/>
    <mergeCell ref="G32:H32"/>
    <mergeCell ref="G33:H33"/>
    <mergeCell ref="G55:H56"/>
    <mergeCell ref="G58:H58"/>
    <mergeCell ref="G47:H48"/>
    <mergeCell ref="I47:J48"/>
    <mergeCell ref="K47:L48"/>
    <mergeCell ref="M47:M48"/>
    <mergeCell ref="G53:H53"/>
    <mergeCell ref="I53:J53"/>
    <mergeCell ref="K53:L53"/>
    <mergeCell ref="G51:H52"/>
    <mergeCell ref="I51:J52"/>
    <mergeCell ref="K51:L52"/>
    <mergeCell ref="M51:M52"/>
    <mergeCell ref="K50:L50"/>
  </mergeCells>
  <pageMargins left="0.7" right="0.7" top="0.75" bottom="0.75" header="0.3" footer="0.3"/>
  <pageSetup paperSize="9" scale="49" orientation="portrait" r:id="rId2"/>
  <rowBreaks count="1" manualBreakCount="1">
    <brk id="70" max="16383" man="1"/>
  </rowBreaks>
  <ignoredErrors>
    <ignoredError sqref="M129:M130 M54 M50 M62:M65 M111 M116 M120 M134 M152:M153 M157:M160 M83 M107 M108:M109 M55:M56 M58 M75 M77:M78 M80:M81 M86:M88 M90:M91 M93:M96 M98 M100:M105 M112:M114 M117:M118 M121:M123 M125:M127 M131:M132 M142:M150 M135:M140 M13:M18" evalError="1"/>
    <ignoredError sqref="G94:L9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Normal="100" workbookViewId="0"/>
  </sheetViews>
  <sheetFormatPr defaultRowHeight="15" x14ac:dyDescent="0.25"/>
  <cols>
    <col min="1" max="1" width="5.140625" customWidth="1"/>
    <col min="2" max="2" width="31.85546875" customWidth="1"/>
    <col min="3" max="13" width="11.7109375" customWidth="1"/>
  </cols>
  <sheetData>
    <row r="1" spans="1:14" x14ac:dyDescent="0.25">
      <c r="A1" s="120" t="s">
        <v>19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4" x14ac:dyDescent="0.25">
      <c r="A2" s="119" t="s">
        <v>17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4" x14ac:dyDescent="0.25">
      <c r="A3" s="119" t="s">
        <v>18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4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1:14" x14ac:dyDescent="0.25">
      <c r="A5" s="132" t="s">
        <v>230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</row>
    <row r="6" spans="1:14" x14ac:dyDescent="0.25">
      <c r="A6" s="132" t="s">
        <v>231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</row>
    <row r="7" spans="1:14" ht="15.75" thickBot="1" x14ac:dyDescent="0.3"/>
    <row r="8" spans="1:14" x14ac:dyDescent="0.25">
      <c r="A8" s="371"/>
      <c r="B8" s="372"/>
      <c r="C8" s="372"/>
      <c r="D8" s="372"/>
      <c r="E8" s="372"/>
      <c r="F8" s="372"/>
      <c r="G8" s="373"/>
      <c r="H8" s="365" t="s">
        <v>240</v>
      </c>
      <c r="I8" s="365"/>
      <c r="J8" s="365" t="s">
        <v>241</v>
      </c>
      <c r="K8" s="365"/>
      <c r="L8" s="365" t="s">
        <v>242</v>
      </c>
      <c r="M8" s="365"/>
    </row>
    <row r="9" spans="1:14" ht="15.75" thickBot="1" x14ac:dyDescent="0.3">
      <c r="A9" s="374"/>
      <c r="B9" s="375"/>
      <c r="C9" s="375"/>
      <c r="D9" s="375"/>
      <c r="E9" s="375"/>
      <c r="F9" s="375"/>
      <c r="G9" s="376"/>
      <c r="H9" s="366"/>
      <c r="I9" s="366"/>
      <c r="J9" s="366"/>
      <c r="K9" s="366"/>
      <c r="L9" s="366"/>
      <c r="M9" s="366"/>
    </row>
    <row r="10" spans="1:14" ht="15" customHeight="1" x14ac:dyDescent="0.25">
      <c r="A10" s="364" t="s">
        <v>243</v>
      </c>
      <c r="B10" s="379" t="s">
        <v>244</v>
      </c>
      <c r="C10" s="364" t="s">
        <v>245</v>
      </c>
      <c r="D10" s="364" t="s">
        <v>246</v>
      </c>
      <c r="E10" s="364" t="s">
        <v>247</v>
      </c>
      <c r="F10" s="364" t="s">
        <v>248</v>
      </c>
      <c r="G10" s="364" t="s">
        <v>249</v>
      </c>
      <c r="H10" s="364" t="s">
        <v>250</v>
      </c>
      <c r="I10" s="364" t="s">
        <v>251</v>
      </c>
      <c r="J10" s="364" t="s">
        <v>252</v>
      </c>
      <c r="K10" s="364" t="s">
        <v>253</v>
      </c>
      <c r="L10" s="364" t="s">
        <v>254</v>
      </c>
      <c r="M10" s="364" t="s">
        <v>255</v>
      </c>
    </row>
    <row r="11" spans="1:14" s="119" customFormat="1" x14ac:dyDescent="0.25">
      <c r="A11" s="192"/>
      <c r="B11" s="379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</row>
    <row r="12" spans="1:14" s="119" customFormat="1" x14ac:dyDescent="0.25">
      <c r="A12" s="192"/>
      <c r="B12" s="379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</row>
    <row r="13" spans="1:14" s="119" customFormat="1" x14ac:dyDescent="0.25">
      <c r="A13" s="192"/>
      <c r="B13" s="364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</row>
    <row r="14" spans="1:14" ht="15.75" thickBot="1" x14ac:dyDescent="0.3">
      <c r="A14" s="113">
        <v>1</v>
      </c>
      <c r="B14" s="113">
        <v>2</v>
      </c>
      <c r="C14" s="113">
        <v>3</v>
      </c>
      <c r="D14" s="113">
        <v>4</v>
      </c>
      <c r="E14" s="113">
        <v>5</v>
      </c>
      <c r="F14" s="113">
        <v>6</v>
      </c>
      <c r="G14" s="113">
        <v>7</v>
      </c>
      <c r="H14" s="113">
        <v>8</v>
      </c>
      <c r="I14" s="113">
        <v>9</v>
      </c>
      <c r="J14" s="113">
        <v>10</v>
      </c>
      <c r="K14" s="113">
        <v>11</v>
      </c>
      <c r="L14" s="113">
        <v>12</v>
      </c>
      <c r="M14" s="113">
        <v>13</v>
      </c>
      <c r="N14" s="121"/>
    </row>
    <row r="15" spans="1:14" ht="15" customHeight="1" x14ac:dyDescent="0.25">
      <c r="A15" s="367" t="s">
        <v>237</v>
      </c>
      <c r="B15" s="122" t="s">
        <v>259</v>
      </c>
      <c r="C15" s="377" t="s">
        <v>232</v>
      </c>
      <c r="D15" s="367" t="s">
        <v>256</v>
      </c>
      <c r="E15" s="367" t="s">
        <v>257</v>
      </c>
      <c r="F15" s="367" t="s">
        <v>258</v>
      </c>
      <c r="G15" s="369">
        <v>27530</v>
      </c>
      <c r="H15" s="369">
        <v>22024</v>
      </c>
      <c r="I15" s="369">
        <v>22024</v>
      </c>
      <c r="J15" s="367">
        <v>0</v>
      </c>
      <c r="K15" s="369">
        <v>14729.79</v>
      </c>
      <c r="L15" s="367">
        <v>0</v>
      </c>
      <c r="M15" s="369">
        <v>5506</v>
      </c>
    </row>
    <row r="16" spans="1:14" ht="15" customHeight="1" thickBot="1" x14ac:dyDescent="0.3">
      <c r="A16" s="368"/>
      <c r="B16" s="123" t="s">
        <v>260</v>
      </c>
      <c r="C16" s="378"/>
      <c r="D16" s="368"/>
      <c r="E16" s="368"/>
      <c r="F16" s="368"/>
      <c r="G16" s="370"/>
      <c r="H16" s="370"/>
      <c r="I16" s="370"/>
      <c r="J16" s="368"/>
      <c r="K16" s="370"/>
      <c r="L16" s="368"/>
      <c r="M16" s="370"/>
    </row>
  </sheetData>
  <mergeCells count="31">
    <mergeCell ref="L15:L16"/>
    <mergeCell ref="M15:M16"/>
    <mergeCell ref="A6:M6"/>
    <mergeCell ref="A8:G9"/>
    <mergeCell ref="G15:G16"/>
    <mergeCell ref="H15:H16"/>
    <mergeCell ref="I15:I16"/>
    <mergeCell ref="J15:J16"/>
    <mergeCell ref="K15:K16"/>
    <mergeCell ref="C15:C16"/>
    <mergeCell ref="D15:D16"/>
    <mergeCell ref="A15:A16"/>
    <mergeCell ref="E15:E16"/>
    <mergeCell ref="F15:F16"/>
    <mergeCell ref="M10:M13"/>
    <mergeCell ref="B10:B13"/>
    <mergeCell ref="A5:M5"/>
    <mergeCell ref="A10:A13"/>
    <mergeCell ref="H8:I9"/>
    <mergeCell ref="J8:K9"/>
    <mergeCell ref="L8:M9"/>
    <mergeCell ref="C10:C13"/>
    <mergeCell ref="E10:E13"/>
    <mergeCell ref="D10:D13"/>
    <mergeCell ref="F10:F13"/>
    <mergeCell ref="G10:G13"/>
    <mergeCell ref="H10:H13"/>
    <mergeCell ref="I10:I13"/>
    <mergeCell ref="J10:J13"/>
    <mergeCell ref="K10:K13"/>
    <mergeCell ref="L10:L13"/>
  </mergeCells>
  <pageMargins left="0.7" right="0.7" top="0.75" bottom="0.75" header="0.3" footer="0.3"/>
  <pageSetup paperSize="9" scale="5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/>
  </sheetViews>
  <sheetFormatPr defaultRowHeight="15" x14ac:dyDescent="0.25"/>
  <cols>
    <col min="8" max="8" width="3.42578125" customWidth="1"/>
  </cols>
  <sheetData>
    <row r="1" spans="1:13" x14ac:dyDescent="0.25">
      <c r="A1" s="1" t="s">
        <v>19</v>
      </c>
    </row>
    <row r="2" spans="1:13" x14ac:dyDescent="0.25">
      <c r="A2" t="s">
        <v>17</v>
      </c>
    </row>
    <row r="3" spans="1:13" x14ac:dyDescent="0.25">
      <c r="A3" t="s">
        <v>18</v>
      </c>
    </row>
    <row r="5" spans="1:13" x14ac:dyDescent="0.25">
      <c r="A5" s="132" t="s">
        <v>230</v>
      </c>
      <c r="B5" s="132"/>
      <c r="C5" s="132"/>
      <c r="D5" s="132"/>
      <c r="E5" s="132"/>
      <c r="F5" s="132"/>
      <c r="G5" s="132"/>
      <c r="H5" s="132"/>
      <c r="I5" s="101"/>
      <c r="J5" s="101"/>
      <c r="K5" s="101"/>
      <c r="L5" s="101"/>
      <c r="M5" s="101"/>
    </row>
    <row r="6" spans="1:13" ht="15" customHeight="1" x14ac:dyDescent="0.25">
      <c r="A6" s="315" t="s">
        <v>233</v>
      </c>
      <c r="B6" s="315"/>
      <c r="C6" s="315"/>
      <c r="D6" s="315"/>
      <c r="E6" s="315"/>
      <c r="F6" s="315"/>
      <c r="G6" s="315"/>
      <c r="H6" s="315"/>
      <c r="I6" s="118"/>
      <c r="J6" s="118"/>
      <c r="K6" s="118"/>
      <c r="L6" s="118"/>
      <c r="M6" s="118"/>
    </row>
    <row r="7" spans="1:13" x14ac:dyDescent="0.25">
      <c r="A7" s="315"/>
      <c r="B7" s="315"/>
      <c r="C7" s="315"/>
      <c r="D7" s="315"/>
      <c r="E7" s="315"/>
      <c r="F7" s="315"/>
      <c r="G7" s="315"/>
      <c r="H7" s="315"/>
      <c r="I7" s="118"/>
      <c r="J7" s="118"/>
      <c r="K7" s="118"/>
      <c r="L7" s="118"/>
      <c r="M7" s="118"/>
    </row>
    <row r="8" spans="1:13" ht="15.75" thickBot="1" x14ac:dyDescent="0.3"/>
    <row r="9" spans="1:13" ht="15" customHeight="1" x14ac:dyDescent="0.25">
      <c r="A9" s="268" t="s">
        <v>234</v>
      </c>
      <c r="B9" s="269"/>
      <c r="C9" s="269"/>
      <c r="D9" s="269"/>
      <c r="E9" s="269"/>
      <c r="F9" s="273"/>
      <c r="G9" s="172" t="s">
        <v>235</v>
      </c>
      <c r="H9" s="173"/>
    </row>
    <row r="10" spans="1:13" x14ac:dyDescent="0.25">
      <c r="A10" s="270"/>
      <c r="B10" s="271"/>
      <c r="C10" s="271"/>
      <c r="D10" s="271"/>
      <c r="E10" s="271"/>
      <c r="F10" s="274"/>
      <c r="G10" s="380"/>
      <c r="H10" s="381"/>
    </row>
    <row r="11" spans="1:13" ht="15.75" thickBot="1" x14ac:dyDescent="0.3">
      <c r="A11" s="266" t="s">
        <v>236</v>
      </c>
      <c r="B11" s="267"/>
      <c r="C11" s="267"/>
      <c r="D11" s="267"/>
      <c r="E11" s="267"/>
      <c r="F11" s="272"/>
      <c r="G11" s="382"/>
      <c r="H11" s="383"/>
    </row>
    <row r="12" spans="1:13" ht="15" customHeight="1" x14ac:dyDescent="0.25">
      <c r="A12" s="124" t="s">
        <v>237</v>
      </c>
      <c r="B12" s="127" t="s">
        <v>261</v>
      </c>
      <c r="C12" s="127"/>
      <c r="D12" s="127"/>
      <c r="E12" s="127"/>
      <c r="F12" s="128"/>
      <c r="G12" s="388">
        <v>132.72</v>
      </c>
      <c r="H12" s="389"/>
    </row>
    <row r="13" spans="1:13" ht="15" customHeight="1" x14ac:dyDescent="0.25">
      <c r="A13" s="125" t="s">
        <v>238</v>
      </c>
      <c r="B13" s="129" t="s">
        <v>262</v>
      </c>
      <c r="C13" s="114"/>
      <c r="D13" s="114"/>
      <c r="E13" s="114"/>
      <c r="F13" s="115"/>
      <c r="G13" s="384">
        <v>0</v>
      </c>
      <c r="H13" s="385"/>
    </row>
    <row r="14" spans="1:13" ht="15.75" customHeight="1" thickBot="1" x14ac:dyDescent="0.3">
      <c r="A14" s="126" t="s">
        <v>239</v>
      </c>
      <c r="B14" s="130" t="s">
        <v>263</v>
      </c>
      <c r="C14" s="116"/>
      <c r="D14" s="116"/>
      <c r="E14" s="116"/>
      <c r="F14" s="117"/>
      <c r="G14" s="386">
        <v>0</v>
      </c>
      <c r="H14" s="387"/>
    </row>
  </sheetData>
  <mergeCells count="8">
    <mergeCell ref="A5:H5"/>
    <mergeCell ref="G9:H11"/>
    <mergeCell ref="G13:H13"/>
    <mergeCell ref="G14:H14"/>
    <mergeCell ref="A6:H7"/>
    <mergeCell ref="A11:F11"/>
    <mergeCell ref="G12:H12"/>
    <mergeCell ref="A9:F1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Račun prihoda i rashoda</vt:lpstr>
      <vt:lpstr>Rashodi i prihodi prema izvoru</vt:lpstr>
      <vt:lpstr>Rashodi prema funkcijskoj k </vt:lpstr>
      <vt:lpstr>Programska klasifikacija</vt:lpstr>
      <vt:lpstr>Posebni izvještaj-EU fondovi</vt:lpstr>
      <vt:lpstr>Stanje potraživanja, obveza</vt:lpstr>
      <vt:lpstr>'Programska klasifikacija'!Podrucje_ispisa</vt:lpstr>
      <vt:lpstr>'Račun prihoda i rashoda'!Podrucje_ispisa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Racunovodja</dc:creator>
  <cp:lastModifiedBy>Racunovodja</cp:lastModifiedBy>
  <cp:lastPrinted>2024-03-26T12:43:10Z</cp:lastPrinted>
  <dcterms:created xsi:type="dcterms:W3CDTF">2023-02-09T09:40:18Z</dcterms:created>
  <dcterms:modified xsi:type="dcterms:W3CDTF">2024-10-03T09:45:30Z</dcterms:modified>
</cp:coreProperties>
</file>