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ja\Desktop\Poslovanje\Fin. izvještaji, izvršenje, rebalans, trogodišnji planovi, plan nabave\Izvršenje plana\Polugodišnji\2023\"/>
    </mc:Choice>
  </mc:AlternateContent>
  <bookViews>
    <workbookView xWindow="0" yWindow="0" windowWidth="28800" windowHeight="12210" firstSheet="1" activeTab="3"/>
  </bookViews>
  <sheets>
    <sheet name="Opći dio" sheetId="1" r:id="rId1"/>
    <sheet name="Ph i rh po ekonomskoj klas. " sheetId="3" r:id="rId2"/>
    <sheet name="Rh i izdaci po izv fin,ek i pr " sheetId="2" r:id="rId3"/>
    <sheet name="Ph i rh po izvorima fin." sheetId="4" r:id="rId4"/>
  </sheets>
  <definedNames>
    <definedName name="_xlnm.Print_Area" localSheetId="1">'Ph i rh po ekonomskoj klas. '!$A$1:$R$120</definedName>
  </definedNames>
  <calcPr calcId="162913"/>
  <customWorkbookViews>
    <customWorkbookView name="Racunovodja - osobni prikaz" guid="{005C429F-8448-44DF-83AD-8A930973E873}" mergeInterval="0" personalView="1" maximized="1" xWindow="-8" yWindow="-8" windowWidth="1936" windowHeight="1048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11" i="2"/>
  <c r="G10" i="2"/>
  <c r="E17" i="4" l="1"/>
  <c r="E18" i="4"/>
  <c r="I110" i="3"/>
  <c r="K110" i="3"/>
  <c r="O110" i="3"/>
  <c r="G110" i="3"/>
  <c r="M73" i="3"/>
  <c r="G97" i="3"/>
  <c r="G73" i="3"/>
  <c r="G68" i="3"/>
  <c r="M60" i="3"/>
  <c r="M68" i="3"/>
  <c r="M69" i="3"/>
  <c r="M64" i="3"/>
  <c r="M62" i="3"/>
  <c r="M97" i="3"/>
  <c r="M86" i="3"/>
  <c r="M80" i="3"/>
  <c r="M76" i="3"/>
  <c r="M74" i="3"/>
  <c r="M88" i="3"/>
  <c r="M81" i="3"/>
  <c r="M26" i="3"/>
  <c r="M47" i="3"/>
  <c r="M18" i="3"/>
  <c r="K18" i="1" l="1"/>
  <c r="K22" i="1"/>
  <c r="K23" i="1"/>
  <c r="E22" i="1"/>
  <c r="M126" i="2"/>
  <c r="Q132" i="2"/>
  <c r="R132" i="2"/>
  <c r="M35" i="4" l="1"/>
  <c r="M21" i="4"/>
  <c r="M18" i="4"/>
  <c r="K107" i="3"/>
  <c r="M107" i="3"/>
  <c r="O107" i="3"/>
  <c r="G107" i="3"/>
  <c r="G106" i="3" s="1"/>
  <c r="I109" i="3"/>
  <c r="Q109" i="3" s="1"/>
  <c r="R109" i="3"/>
  <c r="O63" i="3"/>
  <c r="Q65" i="3"/>
  <c r="R65" i="3"/>
  <c r="I65" i="3"/>
  <c r="O55" i="2" l="1"/>
  <c r="G55" i="2"/>
  <c r="I55" i="2"/>
  <c r="K55" i="2"/>
  <c r="M55" i="2"/>
  <c r="R59" i="2"/>
  <c r="Q59" i="2"/>
  <c r="R58" i="2"/>
  <c r="Q58" i="2"/>
  <c r="R57" i="2"/>
  <c r="Q57" i="2"/>
  <c r="O84" i="2" l="1"/>
  <c r="K84" i="2"/>
  <c r="M86" i="2"/>
  <c r="M70" i="2"/>
  <c r="I90" i="2"/>
  <c r="Q90" i="2"/>
  <c r="R90" i="2"/>
  <c r="I87" i="2"/>
  <c r="I89" i="2"/>
  <c r="Q89" i="2" s="1"/>
  <c r="R89" i="2"/>
  <c r="R137" i="2" l="1"/>
  <c r="I137" i="2"/>
  <c r="Q137" i="2" s="1"/>
  <c r="R108" i="2"/>
  <c r="I108" i="2"/>
  <c r="Q108" i="2" s="1"/>
  <c r="R107" i="2"/>
  <c r="O106" i="2"/>
  <c r="M106" i="2"/>
  <c r="K106" i="2"/>
  <c r="G106" i="2"/>
  <c r="R111" i="2"/>
  <c r="I111" i="2"/>
  <c r="Q111" i="2" s="1"/>
  <c r="R110" i="2"/>
  <c r="O109" i="2"/>
  <c r="M109" i="2"/>
  <c r="K109" i="2"/>
  <c r="G109" i="2"/>
  <c r="R96" i="2"/>
  <c r="I96" i="2"/>
  <c r="Q96" i="2" s="1"/>
  <c r="G86" i="2"/>
  <c r="K86" i="2"/>
  <c r="O86" i="2"/>
  <c r="Q87" i="2"/>
  <c r="R87" i="2"/>
  <c r="I106" i="2" l="1"/>
  <c r="R106" i="2"/>
  <c r="Q106" i="2"/>
  <c r="R109" i="2"/>
  <c r="I109" i="2"/>
  <c r="Q109" i="2" s="1"/>
  <c r="G64" i="3"/>
  <c r="G62" i="3"/>
  <c r="G69" i="3"/>
  <c r="G59" i="3"/>
  <c r="G60" i="3"/>
  <c r="G70" i="3"/>
  <c r="G86" i="3"/>
  <c r="G85" i="3"/>
  <c r="G80" i="3"/>
  <c r="G74" i="3"/>
  <c r="G72" i="3" s="1"/>
  <c r="K70" i="3"/>
  <c r="K68" i="3"/>
  <c r="K97" i="3"/>
  <c r="K113" i="3"/>
  <c r="K86" i="3"/>
  <c r="K80" i="3"/>
  <c r="K74" i="3"/>
  <c r="K73" i="3"/>
  <c r="K60" i="3"/>
  <c r="K39" i="3"/>
  <c r="K18" i="3"/>
  <c r="K33" i="3"/>
  <c r="G47" i="3"/>
  <c r="I22" i="1"/>
  <c r="I18" i="1"/>
  <c r="I35" i="4"/>
  <c r="I33" i="4"/>
  <c r="I32" i="4"/>
  <c r="I31" i="4"/>
  <c r="I16" i="4"/>
  <c r="I18" i="4"/>
  <c r="I14" i="4"/>
  <c r="I15" i="4"/>
  <c r="I60" i="2"/>
  <c r="I50" i="2"/>
  <c r="I47" i="2"/>
  <c r="I45" i="2" s="1"/>
  <c r="I44" i="2"/>
  <c r="I16" i="2"/>
  <c r="Q16" i="2" s="1"/>
  <c r="K37" i="2"/>
  <c r="G89" i="3" l="1"/>
  <c r="G67" i="3"/>
  <c r="G79" i="3"/>
  <c r="G66" i="3" l="1"/>
  <c r="I142" i="2"/>
  <c r="I131" i="2"/>
  <c r="I130" i="2"/>
  <c r="I123" i="2"/>
  <c r="I124" i="2"/>
  <c r="I122" i="2"/>
  <c r="I120" i="2" s="1"/>
  <c r="I115" i="2"/>
  <c r="I105" i="2"/>
  <c r="I102" i="2"/>
  <c r="I100" i="2" s="1"/>
  <c r="I88" i="2"/>
  <c r="I85" i="2"/>
  <c r="I81" i="2"/>
  <c r="I80" i="2" s="1"/>
  <c r="I83" i="2"/>
  <c r="I71" i="2"/>
  <c r="I68" i="2"/>
  <c r="I64" i="2"/>
  <c r="I60" i="3" l="1"/>
  <c r="I64" i="3"/>
  <c r="I86" i="3"/>
  <c r="I85" i="3"/>
  <c r="I70" i="3"/>
  <c r="I119" i="3"/>
  <c r="I117" i="3"/>
  <c r="I116" i="3"/>
  <c r="I115" i="3"/>
  <c r="I114" i="3"/>
  <c r="I113" i="3"/>
  <c r="I108" i="3"/>
  <c r="I107" i="3" s="1"/>
  <c r="I106" i="3" s="1"/>
  <c r="I105" i="3"/>
  <c r="I104" i="3"/>
  <c r="I100" i="3"/>
  <c r="I90" i="3"/>
  <c r="I96" i="3"/>
  <c r="I95" i="3"/>
  <c r="I94" i="3"/>
  <c r="I93" i="3"/>
  <c r="I92" i="3"/>
  <c r="I88" i="3"/>
  <c r="I87" i="3"/>
  <c r="I84" i="3"/>
  <c r="I83" i="3"/>
  <c r="I82" i="3"/>
  <c r="I81" i="3"/>
  <c r="I78" i="3"/>
  <c r="I77" i="3"/>
  <c r="I76" i="3"/>
  <c r="I75" i="3"/>
  <c r="I73" i="3"/>
  <c r="I71" i="3"/>
  <c r="I69" i="3"/>
  <c r="I68" i="3"/>
  <c r="I62" i="3"/>
  <c r="I15" i="3"/>
  <c r="I143" i="2"/>
  <c r="G20" i="4"/>
  <c r="G13" i="4"/>
  <c r="G12" i="4"/>
  <c r="G11" i="4"/>
  <c r="G18" i="4"/>
  <c r="G29" i="4"/>
  <c r="G38" i="4"/>
  <c r="G37" i="4"/>
  <c r="G36" i="4"/>
  <c r="G35" i="4"/>
  <c r="G34" i="4"/>
  <c r="G33" i="4"/>
  <c r="G32" i="4"/>
  <c r="G31" i="4"/>
  <c r="G30" i="4"/>
  <c r="G28" i="4"/>
  <c r="G14" i="4"/>
  <c r="G15" i="4"/>
  <c r="G16" i="4"/>
  <c r="G17" i="4"/>
  <c r="G19" i="4"/>
  <c r="G21" i="4"/>
  <c r="I80" i="3" l="1"/>
  <c r="I74" i="3"/>
  <c r="I97" i="3"/>
  <c r="G22" i="4"/>
  <c r="O13" i="4"/>
  <c r="E39" i="4"/>
  <c r="E22" i="4"/>
  <c r="K113" i="2"/>
  <c r="I139" i="2" l="1"/>
  <c r="I138" i="2"/>
  <c r="I136" i="2"/>
  <c r="I135" i="2"/>
  <c r="I134" i="2"/>
  <c r="I133" i="2"/>
  <c r="I118" i="2"/>
  <c r="I117" i="2"/>
  <c r="I116" i="2"/>
  <c r="I99" i="2"/>
  <c r="I98" i="2"/>
  <c r="I97" i="2"/>
  <c r="I95" i="2"/>
  <c r="I94" i="2"/>
  <c r="I93" i="2"/>
  <c r="I92" i="2"/>
  <c r="I91" i="2"/>
  <c r="I79" i="2"/>
  <c r="I78" i="2"/>
  <c r="I77" i="2"/>
  <c r="I76" i="2"/>
  <c r="I75" i="2"/>
  <c r="I74" i="2"/>
  <c r="I73" i="2"/>
  <c r="I72" i="2"/>
  <c r="I69" i="2"/>
  <c r="I67" i="2" s="1"/>
  <c r="I66" i="2"/>
  <c r="I65" i="2"/>
  <c r="I53" i="2"/>
  <c r="I52" i="2"/>
  <c r="I51" i="2"/>
  <c r="I41" i="2"/>
  <c r="I40" i="2"/>
  <c r="I39" i="2"/>
  <c r="I38" i="2"/>
  <c r="I36" i="2"/>
  <c r="I35" i="2"/>
  <c r="I34" i="2"/>
  <c r="I33" i="2"/>
  <c r="I32" i="2"/>
  <c r="I31" i="2"/>
  <c r="I30" i="2"/>
  <c r="I29" i="2"/>
  <c r="I28" i="2"/>
  <c r="I22" i="2"/>
  <c r="I23" i="2"/>
  <c r="I24" i="2"/>
  <c r="I25" i="2"/>
  <c r="I26" i="2"/>
  <c r="I21" i="2"/>
  <c r="I18" i="2"/>
  <c r="Q18" i="2" s="1"/>
  <c r="I17" i="2"/>
  <c r="Q17" i="2" s="1"/>
  <c r="I19" i="2"/>
  <c r="G140" i="2"/>
  <c r="G126" i="2"/>
  <c r="G125" i="2" s="1"/>
  <c r="G120" i="2"/>
  <c r="G119" i="2" s="1"/>
  <c r="G113" i="2"/>
  <c r="G112" i="2" s="1"/>
  <c r="G103" i="2"/>
  <c r="G100" i="2"/>
  <c r="G84" i="2"/>
  <c r="G82" i="2"/>
  <c r="G80" i="2"/>
  <c r="G70" i="2"/>
  <c r="G67" i="2"/>
  <c r="G63" i="2"/>
  <c r="G48" i="2"/>
  <c r="G45" i="2"/>
  <c r="G42" i="2"/>
  <c r="G37" i="2"/>
  <c r="G27" i="2"/>
  <c r="G20" i="2"/>
  <c r="G15" i="2"/>
  <c r="R17" i="2"/>
  <c r="E23" i="1"/>
  <c r="G54" i="2" l="1"/>
  <c r="I113" i="2"/>
  <c r="I112" i="2" s="1"/>
  <c r="I86" i="2"/>
  <c r="I126" i="2"/>
  <c r="I48" i="2"/>
  <c r="I63" i="2"/>
  <c r="I70" i="2"/>
  <c r="G61" i="2"/>
  <c r="G14" i="2"/>
  <c r="I49" i="3"/>
  <c r="I47" i="3"/>
  <c r="I42" i="3"/>
  <c r="I40" i="3" s="1"/>
  <c r="I39" i="3"/>
  <c r="I38" i="3" s="1"/>
  <c r="I34" i="3"/>
  <c r="I33" i="3"/>
  <c r="I28" i="3"/>
  <c r="I26" i="3"/>
  <c r="I23" i="3"/>
  <c r="I20" i="3"/>
  <c r="I18" i="3"/>
  <c r="Q18" i="3" s="1"/>
  <c r="O16" i="3"/>
  <c r="K16" i="3"/>
  <c r="M16" i="3"/>
  <c r="G16" i="3"/>
  <c r="I54" i="3"/>
  <c r="K24" i="3"/>
  <c r="M24" i="3"/>
  <c r="O24" i="3"/>
  <c r="G24" i="3"/>
  <c r="G40" i="3"/>
  <c r="G118" i="3"/>
  <c r="G112" i="3"/>
  <c r="G103" i="3"/>
  <c r="G101" i="3" s="1"/>
  <c r="G99" i="3"/>
  <c r="G98" i="3" s="1"/>
  <c r="G63" i="3"/>
  <c r="G61" i="3"/>
  <c r="G53" i="3"/>
  <c r="G52" i="3" s="1"/>
  <c r="G51" i="3" s="1"/>
  <c r="G45" i="3"/>
  <c r="G43" i="3" s="1"/>
  <c r="G38" i="3"/>
  <c r="G32" i="3"/>
  <c r="G30" i="3" s="1"/>
  <c r="G22" i="3"/>
  <c r="G14" i="3"/>
  <c r="I45" i="3" l="1"/>
  <c r="G36" i="3"/>
  <c r="I32" i="3"/>
  <c r="G12" i="3"/>
  <c r="I16" i="3"/>
  <c r="Q16" i="3" s="1"/>
  <c r="I24" i="3"/>
  <c r="Q24" i="3" s="1"/>
  <c r="R16" i="3"/>
  <c r="G111" i="3"/>
  <c r="G58" i="3"/>
  <c r="G57" i="3" s="1"/>
  <c r="G23" i="1"/>
  <c r="G22" i="1"/>
  <c r="G20" i="1"/>
  <c r="G37" i="1" s="1"/>
  <c r="G18" i="1"/>
  <c r="G19" i="1"/>
  <c r="E21" i="1"/>
  <c r="E24" i="1"/>
  <c r="E37" i="1"/>
  <c r="G11" i="3" l="1"/>
  <c r="G55" i="3" s="1"/>
  <c r="G24" i="1"/>
  <c r="G120" i="3"/>
  <c r="E25" i="1"/>
  <c r="E38" i="1" s="1"/>
  <c r="G21" i="1"/>
  <c r="G25" i="1" l="1"/>
  <c r="G38" i="1" s="1"/>
  <c r="I24" i="1" l="1"/>
  <c r="P13" i="4"/>
  <c r="O12" i="4"/>
  <c r="K63" i="2"/>
  <c r="M63" i="2"/>
  <c r="O63" i="2"/>
  <c r="R18" i="2"/>
  <c r="R63" i="2" l="1"/>
  <c r="I37" i="1"/>
  <c r="K37" i="1"/>
  <c r="M37" i="1"/>
  <c r="M21" i="1" l="1"/>
  <c r="M24" i="1"/>
  <c r="M25" i="1" l="1"/>
  <c r="K48" i="2"/>
  <c r="K45" i="2"/>
  <c r="I103" i="3" l="1"/>
  <c r="K103" i="3"/>
  <c r="M103" i="3"/>
  <c r="O103" i="3"/>
  <c r="O101" i="3" s="1"/>
  <c r="Q105" i="3"/>
  <c r="R105" i="3"/>
  <c r="M45" i="3" l="1"/>
  <c r="I22" i="4"/>
  <c r="R34" i="3"/>
  <c r="Q26" i="3"/>
  <c r="I21" i="1" l="1"/>
  <c r="I25" i="1" s="1"/>
  <c r="I38" i="1" s="1"/>
  <c r="O11" i="4" l="1"/>
  <c r="I39" i="4"/>
  <c r="K140" i="2" l="1"/>
  <c r="K126" i="2"/>
  <c r="K120" i="2"/>
  <c r="K119" i="2" s="1"/>
  <c r="K112" i="2"/>
  <c r="K103" i="2"/>
  <c r="K100" i="2"/>
  <c r="K82" i="2"/>
  <c r="K80" i="2"/>
  <c r="K70" i="2"/>
  <c r="K67" i="2"/>
  <c r="K42" i="2"/>
  <c r="K27" i="2"/>
  <c r="K20" i="2"/>
  <c r="K15" i="2"/>
  <c r="K118" i="3"/>
  <c r="K112" i="3"/>
  <c r="K106" i="3"/>
  <c r="K101" i="3"/>
  <c r="K99" i="3"/>
  <c r="K98" i="3" s="1"/>
  <c r="K89" i="3"/>
  <c r="K79" i="3"/>
  <c r="K72" i="3"/>
  <c r="K67" i="3"/>
  <c r="K63" i="3"/>
  <c r="K61" i="3"/>
  <c r="K59" i="3"/>
  <c r="K53" i="3"/>
  <c r="K52" i="3" s="1"/>
  <c r="K51" i="3" s="1"/>
  <c r="K45" i="3"/>
  <c r="K43" i="3" s="1"/>
  <c r="K40" i="3"/>
  <c r="K38" i="3"/>
  <c r="K36" i="3" s="1"/>
  <c r="K32" i="3"/>
  <c r="K30" i="3" s="1"/>
  <c r="K22" i="3"/>
  <c r="K14" i="3"/>
  <c r="K54" i="2" l="1"/>
  <c r="K61" i="2"/>
  <c r="K125" i="2"/>
  <c r="K111" i="3"/>
  <c r="K58" i="3"/>
  <c r="K66" i="3"/>
  <c r="K12" i="3"/>
  <c r="K11" i="3" s="1"/>
  <c r="K55" i="3" s="1"/>
  <c r="K14" i="2"/>
  <c r="K12" i="2" s="1"/>
  <c r="K11" i="2" s="1"/>
  <c r="K57" i="3" l="1"/>
  <c r="K120" i="3" s="1"/>
  <c r="K10" i="2"/>
  <c r="K24" i="1"/>
  <c r="M38" i="1"/>
  <c r="Q136" i="2"/>
  <c r="R136" i="2"/>
  <c r="O126" i="2"/>
  <c r="Q131" i="2"/>
  <c r="R131" i="2"/>
  <c r="O120" i="2"/>
  <c r="O119" i="2" s="1"/>
  <c r="Q54" i="3" l="1"/>
  <c r="R54" i="3"/>
  <c r="Q135" i="2"/>
  <c r="R135" i="2"/>
  <c r="Q138" i="2"/>
  <c r="R138" i="2"/>
  <c r="Q133" i="2"/>
  <c r="R133" i="2"/>
  <c r="R141" i="2"/>
  <c r="R121" i="2"/>
  <c r="R114" i="2"/>
  <c r="R104" i="2"/>
  <c r="R101" i="2"/>
  <c r="R92" i="2"/>
  <c r="Q92" i="2"/>
  <c r="R88" i="2"/>
  <c r="Q88" i="2"/>
  <c r="R46" i="2"/>
  <c r="R56" i="2"/>
  <c r="R49" i="2"/>
  <c r="R43" i="2"/>
  <c r="R108" i="3"/>
  <c r="Q108" i="3"/>
  <c r="M106" i="3"/>
  <c r="R104" i="3"/>
  <c r="Q104" i="3"/>
  <c r="M101" i="3"/>
  <c r="I101" i="3"/>
  <c r="O67" i="3"/>
  <c r="R107" i="3" l="1"/>
  <c r="O106" i="3"/>
  <c r="Q107" i="3"/>
  <c r="R103" i="3"/>
  <c r="Q103" i="3"/>
  <c r="R28" i="3"/>
  <c r="R26" i="3"/>
  <c r="R106" i="3" l="1"/>
  <c r="Q106" i="3"/>
  <c r="R101" i="3"/>
  <c r="Q101" i="3"/>
  <c r="I22" i="3"/>
  <c r="Q34" i="3"/>
  <c r="M32" i="3"/>
  <c r="M30" i="3" s="1"/>
  <c r="O32" i="3"/>
  <c r="I30" i="3"/>
  <c r="Q28" i="3"/>
  <c r="R24" i="3" l="1"/>
  <c r="Q76" i="2"/>
  <c r="R76" i="2"/>
  <c r="Q75" i="2"/>
  <c r="R75" i="2"/>
  <c r="Q69" i="2"/>
  <c r="R69" i="2"/>
  <c r="I84" i="2"/>
  <c r="Q63" i="2" l="1"/>
  <c r="G39" i="4" l="1"/>
  <c r="I15" i="2"/>
  <c r="M15" i="2"/>
  <c r="I20" i="2"/>
  <c r="M20" i="2"/>
  <c r="I27" i="2"/>
  <c r="M27" i="2"/>
  <c r="I37" i="2"/>
  <c r="M37" i="2"/>
  <c r="M14" i="2" l="1"/>
  <c r="M12" i="2" s="1"/>
  <c r="I14" i="2"/>
  <c r="I12" i="2" s="1"/>
  <c r="R42" i="3"/>
  <c r="Q42" i="3"/>
  <c r="R39" i="3"/>
  <c r="Q39" i="3"/>
  <c r="Q47" i="3"/>
  <c r="R47" i="3"/>
  <c r="Q49" i="3"/>
  <c r="R49" i="3"/>
  <c r="R33" i="3"/>
  <c r="Q33" i="3"/>
  <c r="R23" i="3"/>
  <c r="Q23" i="3"/>
  <c r="Q113" i="3"/>
  <c r="R113" i="3"/>
  <c r="Q114" i="3"/>
  <c r="R114" i="3"/>
  <c r="Q115" i="3"/>
  <c r="R115" i="3"/>
  <c r="Q116" i="3"/>
  <c r="R116" i="3"/>
  <c r="Q117" i="3"/>
  <c r="R117" i="3"/>
  <c r="Q119" i="3"/>
  <c r="R119" i="3"/>
  <c r="R90" i="3"/>
  <c r="Q90" i="3"/>
  <c r="Q93" i="3"/>
  <c r="R93" i="3"/>
  <c r="Q94" i="3"/>
  <c r="R94" i="3"/>
  <c r="Q95" i="3"/>
  <c r="R95" i="3"/>
  <c r="Q96" i="3"/>
  <c r="R96" i="3"/>
  <c r="Q97" i="3"/>
  <c r="R97" i="3"/>
  <c r="Q100" i="3"/>
  <c r="R100" i="3"/>
  <c r="R92" i="3"/>
  <c r="Q92" i="3"/>
  <c r="Q60" i="3"/>
  <c r="R60" i="3"/>
  <c r="Q62" i="3"/>
  <c r="R62" i="3"/>
  <c r="Q64" i="3"/>
  <c r="R64" i="3"/>
  <c r="Q68" i="3"/>
  <c r="R68" i="3"/>
  <c r="Q69" i="3"/>
  <c r="R69" i="3"/>
  <c r="Q70" i="3"/>
  <c r="R70" i="3"/>
  <c r="Q71" i="3"/>
  <c r="R71" i="3"/>
  <c r="Q73" i="3"/>
  <c r="R73" i="3"/>
  <c r="Q74" i="3"/>
  <c r="R74" i="3"/>
  <c r="Q75" i="3"/>
  <c r="R75" i="3"/>
  <c r="Q76" i="3"/>
  <c r="R76" i="3"/>
  <c r="Q77" i="3"/>
  <c r="R77" i="3"/>
  <c r="Q78" i="3"/>
  <c r="R78" i="3"/>
  <c r="Q80" i="3"/>
  <c r="R80" i="3"/>
  <c r="Q81" i="3"/>
  <c r="R81" i="3"/>
  <c r="Q82" i="3"/>
  <c r="R82" i="3"/>
  <c r="Q83" i="3"/>
  <c r="R83" i="3"/>
  <c r="Q84" i="3"/>
  <c r="R84" i="3"/>
  <c r="Q85" i="3"/>
  <c r="R85" i="3"/>
  <c r="Q86" i="3"/>
  <c r="R86" i="3"/>
  <c r="Q87" i="3"/>
  <c r="R87" i="3"/>
  <c r="Q88" i="3"/>
  <c r="R88" i="3"/>
  <c r="M48" i="2"/>
  <c r="O48" i="2"/>
  <c r="Q47" i="2"/>
  <c r="M45" i="2"/>
  <c r="O45" i="2"/>
  <c r="M42" i="2"/>
  <c r="O42" i="2"/>
  <c r="M67" i="2"/>
  <c r="M61" i="2" s="1"/>
  <c r="O67" i="2"/>
  <c r="O70" i="2"/>
  <c r="M80" i="2"/>
  <c r="O80" i="2"/>
  <c r="M82" i="2"/>
  <c r="O82" i="2"/>
  <c r="M84" i="2"/>
  <c r="M100" i="2"/>
  <c r="O100" i="2"/>
  <c r="M103" i="2"/>
  <c r="M54" i="2" s="1"/>
  <c r="O103" i="2"/>
  <c r="M113" i="2"/>
  <c r="O113" i="2"/>
  <c r="M120" i="2"/>
  <c r="M119" i="2" s="1"/>
  <c r="I119" i="2"/>
  <c r="Q126" i="2"/>
  <c r="I140" i="2"/>
  <c r="I125" i="2" s="1"/>
  <c r="O140" i="2"/>
  <c r="M140" i="2"/>
  <c r="R123" i="2"/>
  <c r="R124" i="2"/>
  <c r="Q123" i="2"/>
  <c r="Q124" i="2"/>
  <c r="R122" i="2"/>
  <c r="Q122" i="2"/>
  <c r="R116" i="2"/>
  <c r="R117" i="2"/>
  <c r="R118" i="2"/>
  <c r="R115" i="2"/>
  <c r="Q116" i="2"/>
  <c r="Q117" i="2"/>
  <c r="Q118" i="2"/>
  <c r="R105" i="2"/>
  <c r="R102" i="2"/>
  <c r="R65" i="2"/>
  <c r="R66" i="2"/>
  <c r="R68" i="2"/>
  <c r="R71" i="2"/>
  <c r="R72" i="2"/>
  <c r="R73" i="2"/>
  <c r="R74" i="2"/>
  <c r="R77" i="2"/>
  <c r="R78" i="2"/>
  <c r="R79" i="2"/>
  <c r="R81" i="2"/>
  <c r="R83" i="2"/>
  <c r="R85" i="2"/>
  <c r="R91" i="2"/>
  <c r="R93" i="2"/>
  <c r="R94" i="2"/>
  <c r="R95" i="2"/>
  <c r="R97" i="2"/>
  <c r="R98" i="2"/>
  <c r="R99" i="2"/>
  <c r="Q65" i="2"/>
  <c r="Q66" i="2"/>
  <c r="Q71" i="2"/>
  <c r="Q72" i="2"/>
  <c r="Q73" i="2"/>
  <c r="Q74" i="2"/>
  <c r="Q77" i="2"/>
  <c r="Q78" i="2"/>
  <c r="Q79" i="2"/>
  <c r="Q85" i="2"/>
  <c r="Q91" i="2"/>
  <c r="Q93" i="2"/>
  <c r="Q94" i="2"/>
  <c r="Q95" i="2"/>
  <c r="Q97" i="2"/>
  <c r="Q98" i="2"/>
  <c r="Q99" i="2"/>
  <c r="R64" i="2"/>
  <c r="Q64" i="2"/>
  <c r="R134" i="2"/>
  <c r="R139" i="2"/>
  <c r="R130" i="2"/>
  <c r="Q134" i="2"/>
  <c r="Q139" i="2"/>
  <c r="Q130" i="2"/>
  <c r="R143" i="2"/>
  <c r="R142" i="2"/>
  <c r="Q143" i="2"/>
  <c r="Q142" i="2"/>
  <c r="R60" i="2"/>
  <c r="R51" i="2"/>
  <c r="R52" i="2"/>
  <c r="R53" i="2"/>
  <c r="R50" i="2"/>
  <c r="Q51" i="2"/>
  <c r="Q52" i="2"/>
  <c r="Q53" i="2"/>
  <c r="Q50" i="2"/>
  <c r="R47" i="2"/>
  <c r="R44" i="2"/>
  <c r="R18" i="3"/>
  <c r="R20" i="3"/>
  <c r="Q20" i="3"/>
  <c r="Q15" i="3"/>
  <c r="R15" i="3"/>
  <c r="K21" i="1"/>
  <c r="K25" i="1" s="1"/>
  <c r="K38" i="1" s="1"/>
  <c r="O61" i="2" l="1"/>
  <c r="O54" i="2" s="1"/>
  <c r="Q48" i="2"/>
  <c r="Q120" i="2"/>
  <c r="Q140" i="2"/>
  <c r="R140" i="2"/>
  <c r="R126" i="2"/>
  <c r="R120" i="2"/>
  <c r="O112" i="2"/>
  <c r="R113" i="2"/>
  <c r="M112" i="2"/>
  <c r="R103" i="2"/>
  <c r="R100" i="2"/>
  <c r="R86" i="2"/>
  <c r="Q86" i="2"/>
  <c r="Q84" i="2"/>
  <c r="R84" i="2"/>
  <c r="R82" i="2"/>
  <c r="R80" i="2"/>
  <c r="R70" i="2"/>
  <c r="Q70" i="2"/>
  <c r="R67" i="2"/>
  <c r="R55" i="2"/>
  <c r="R48" i="2"/>
  <c r="R45" i="2"/>
  <c r="R42" i="2"/>
  <c r="M125" i="2"/>
  <c r="O125" i="2"/>
  <c r="M11" i="2"/>
  <c r="O27" i="2"/>
  <c r="Q27" i="2" s="1"/>
  <c r="O37" i="2"/>
  <c r="R37" i="2" s="1"/>
  <c r="O20" i="2"/>
  <c r="R20" i="2" s="1"/>
  <c r="O15" i="2"/>
  <c r="R16" i="2"/>
  <c r="R19" i="2"/>
  <c r="R21" i="2"/>
  <c r="R22" i="2"/>
  <c r="R23" i="2"/>
  <c r="R24" i="2"/>
  <c r="R25" i="2"/>
  <c r="R26" i="2"/>
  <c r="R28" i="2"/>
  <c r="R29" i="2"/>
  <c r="R30" i="2"/>
  <c r="R31" i="2"/>
  <c r="R32" i="2"/>
  <c r="R33" i="2"/>
  <c r="R34" i="2"/>
  <c r="R35" i="2"/>
  <c r="R36" i="2"/>
  <c r="R38" i="2"/>
  <c r="R39" i="2"/>
  <c r="R40" i="2"/>
  <c r="R41" i="2"/>
  <c r="Q19" i="2"/>
  <c r="Q21" i="2"/>
  <c r="Q22" i="2"/>
  <c r="Q23" i="2"/>
  <c r="Q24" i="2"/>
  <c r="Q25" i="2"/>
  <c r="Q26" i="2"/>
  <c r="Q28" i="2"/>
  <c r="Q29" i="2"/>
  <c r="Q30" i="2"/>
  <c r="Q31" i="2"/>
  <c r="Q32" i="2"/>
  <c r="Q33" i="2"/>
  <c r="Q34" i="2"/>
  <c r="Q35" i="2"/>
  <c r="Q36" i="2"/>
  <c r="Q38" i="2"/>
  <c r="Q39" i="2"/>
  <c r="Q40" i="2"/>
  <c r="Q41" i="2"/>
  <c r="Q115" i="2" l="1"/>
  <c r="Q45" i="2"/>
  <c r="R61" i="2"/>
  <c r="R15" i="2"/>
  <c r="Q15" i="2"/>
  <c r="Q125" i="2"/>
  <c r="R125" i="2"/>
  <c r="R112" i="2"/>
  <c r="R27" i="2"/>
  <c r="Q37" i="2"/>
  <c r="Q20" i="2"/>
  <c r="O14" i="2"/>
  <c r="O12" i="2" s="1"/>
  <c r="O21" i="4"/>
  <c r="P11" i="4"/>
  <c r="R54" i="2" l="1"/>
  <c r="Q113" i="2"/>
  <c r="O11" i="2"/>
  <c r="O10" i="2" s="1"/>
  <c r="R12" i="2"/>
  <c r="Q12" i="2"/>
  <c r="Q119" i="2"/>
  <c r="Q14" i="2"/>
  <c r="R14" i="2"/>
  <c r="M39" i="4"/>
  <c r="O39" i="4" s="1"/>
  <c r="K39" i="4"/>
  <c r="O30" i="4"/>
  <c r="P30" i="4"/>
  <c r="O31" i="4"/>
  <c r="P31" i="4"/>
  <c r="O32" i="4"/>
  <c r="P32" i="4"/>
  <c r="O33" i="4"/>
  <c r="P33" i="4"/>
  <c r="O34" i="4"/>
  <c r="P34" i="4"/>
  <c r="O35" i="4"/>
  <c r="P35" i="4"/>
  <c r="O36" i="4"/>
  <c r="P36" i="4"/>
  <c r="O37" i="4"/>
  <c r="P37" i="4"/>
  <c r="O38" i="4"/>
  <c r="P38" i="4"/>
  <c r="P29" i="4"/>
  <c r="O29" i="4"/>
  <c r="P28" i="4"/>
  <c r="O28" i="4"/>
  <c r="O14" i="4"/>
  <c r="P14" i="4"/>
  <c r="O15" i="4"/>
  <c r="P15" i="4"/>
  <c r="O16" i="4"/>
  <c r="P16" i="4"/>
  <c r="O17" i="4"/>
  <c r="P17" i="4"/>
  <c r="O18" i="4"/>
  <c r="P18" i="4"/>
  <c r="O19" i="4"/>
  <c r="P19" i="4"/>
  <c r="O20" i="4"/>
  <c r="P20" i="4"/>
  <c r="P21" i="4"/>
  <c r="P12" i="4"/>
  <c r="K22" i="4"/>
  <c r="M22" i="4"/>
  <c r="Q112" i="2" l="1"/>
  <c r="R11" i="2"/>
  <c r="O22" i="4"/>
  <c r="P22" i="4"/>
  <c r="R119" i="2"/>
  <c r="M10" i="2"/>
  <c r="P39" i="4"/>
  <c r="I82" i="2" l="1"/>
  <c r="I61" i="2" s="1"/>
  <c r="Q83" i="2"/>
  <c r="R10" i="2"/>
  <c r="M99" i="3"/>
  <c r="M98" i="3" s="1"/>
  <c r="O99" i="3"/>
  <c r="M112" i="3"/>
  <c r="O112" i="3"/>
  <c r="M118" i="3"/>
  <c r="O118" i="3"/>
  <c r="M89" i="3"/>
  <c r="M59" i="3"/>
  <c r="O59" i="3"/>
  <c r="M61" i="3"/>
  <c r="O61" i="3"/>
  <c r="M63" i="3"/>
  <c r="M67" i="3"/>
  <c r="M72" i="3"/>
  <c r="O72" i="3"/>
  <c r="M79" i="3"/>
  <c r="O79" i="3"/>
  <c r="O89" i="3"/>
  <c r="I118" i="3"/>
  <c r="I112" i="3"/>
  <c r="I99" i="3"/>
  <c r="I98" i="3" s="1"/>
  <c r="I89" i="3"/>
  <c r="I79" i="3"/>
  <c r="I72" i="3"/>
  <c r="I67" i="3"/>
  <c r="I63" i="3"/>
  <c r="Q63" i="3" s="1"/>
  <c r="I61" i="3"/>
  <c r="I59" i="3"/>
  <c r="O58" i="3" l="1"/>
  <c r="Q82" i="2"/>
  <c r="M111" i="3"/>
  <c r="M110" i="3" s="1"/>
  <c r="M58" i="3"/>
  <c r="R63" i="3"/>
  <c r="O111" i="3"/>
  <c r="Q112" i="3"/>
  <c r="R112" i="3"/>
  <c r="M66" i="3"/>
  <c r="Q89" i="3"/>
  <c r="R89" i="3"/>
  <c r="Q72" i="3"/>
  <c r="R72" i="3"/>
  <c r="Q99" i="3"/>
  <c r="R99" i="3"/>
  <c r="R79" i="3"/>
  <c r="Q79" i="3"/>
  <c r="Q118" i="3"/>
  <c r="R118" i="3"/>
  <c r="Q61" i="3"/>
  <c r="R61" i="3"/>
  <c r="R59" i="3"/>
  <c r="Q59" i="3"/>
  <c r="O98" i="3"/>
  <c r="O66" i="3"/>
  <c r="Q67" i="3"/>
  <c r="R67" i="3"/>
  <c r="I111" i="3"/>
  <c r="I66" i="3"/>
  <c r="I58" i="3"/>
  <c r="M53" i="3"/>
  <c r="M52" i="3" s="1"/>
  <c r="M51" i="3" s="1"/>
  <c r="O53" i="3"/>
  <c r="M43" i="3"/>
  <c r="O45" i="3"/>
  <c r="M40" i="3"/>
  <c r="O40" i="3"/>
  <c r="M38" i="3"/>
  <c r="O38" i="3"/>
  <c r="M22" i="3"/>
  <c r="O22" i="3"/>
  <c r="M14" i="3"/>
  <c r="M12" i="3" s="1"/>
  <c r="O14" i="3"/>
  <c r="I53" i="3"/>
  <c r="I52" i="3" s="1"/>
  <c r="I51" i="3" s="1"/>
  <c r="I43" i="3"/>
  <c r="I14" i="3"/>
  <c r="I12" i="3" s="1"/>
  <c r="M57" i="3" l="1"/>
  <c r="Q81" i="2"/>
  <c r="Q80" i="2"/>
  <c r="I103" i="2"/>
  <c r="I54" i="2" s="1"/>
  <c r="Q105" i="2"/>
  <c r="O12" i="3"/>
  <c r="Q12" i="3" s="1"/>
  <c r="O57" i="3"/>
  <c r="Q58" i="3"/>
  <c r="I57" i="3"/>
  <c r="M120" i="3"/>
  <c r="R58" i="3"/>
  <c r="R110" i="3"/>
  <c r="R22" i="3"/>
  <c r="Q98" i="3"/>
  <c r="R98" i="3"/>
  <c r="Q22" i="3"/>
  <c r="O30" i="3"/>
  <c r="R32" i="3"/>
  <c r="Q32" i="3"/>
  <c r="R53" i="3"/>
  <c r="Q53" i="3"/>
  <c r="O36" i="3"/>
  <c r="R38" i="3"/>
  <c r="Q38" i="3"/>
  <c r="R40" i="3"/>
  <c r="Q40" i="3"/>
  <c r="Q14" i="3"/>
  <c r="R14" i="3"/>
  <c r="O43" i="3"/>
  <c r="Q45" i="3"/>
  <c r="R45" i="3"/>
  <c r="Q111" i="3"/>
  <c r="R111" i="3"/>
  <c r="R66" i="3"/>
  <c r="Q66" i="3"/>
  <c r="O52" i="3"/>
  <c r="M36" i="3"/>
  <c r="M11" i="3" s="1"/>
  <c r="M55" i="3" s="1"/>
  <c r="I36" i="3"/>
  <c r="I11" i="3" s="1"/>
  <c r="Q103" i="2" l="1"/>
  <c r="Q68" i="2"/>
  <c r="R12" i="3"/>
  <c r="O120" i="3"/>
  <c r="Q110" i="3"/>
  <c r="R36" i="3"/>
  <c r="Q36" i="3"/>
  <c r="O11" i="3"/>
  <c r="R43" i="3"/>
  <c r="Q43" i="3"/>
  <c r="R30" i="3"/>
  <c r="Q30" i="3"/>
  <c r="R57" i="3"/>
  <c r="R52" i="3"/>
  <c r="Q52" i="3"/>
  <c r="Q57" i="3"/>
  <c r="I120" i="3"/>
  <c r="O51" i="3"/>
  <c r="Q67" i="2" l="1"/>
  <c r="Q102" i="2"/>
  <c r="Q100" i="2"/>
  <c r="R120" i="3"/>
  <c r="Q120" i="3"/>
  <c r="R11" i="3"/>
  <c r="Q11" i="3"/>
  <c r="O55" i="3"/>
  <c r="R51" i="3"/>
  <c r="Q51" i="3"/>
  <c r="I55" i="3"/>
  <c r="Q61" i="2" l="1"/>
  <c r="Q55" i="3"/>
  <c r="R55" i="3"/>
  <c r="Q60" i="2" l="1"/>
  <c r="Q55" i="2" l="1"/>
  <c r="Q54" i="2"/>
  <c r="I42" i="2"/>
  <c r="I11" i="2" s="1"/>
  <c r="Q44" i="2"/>
  <c r="I10" i="2" l="1"/>
  <c r="Q42" i="2"/>
  <c r="Q10" i="2" l="1"/>
  <c r="Q11" i="2"/>
</calcChain>
</file>

<file path=xl/sharedStrings.xml><?xml version="1.0" encoding="utf-8"?>
<sst xmlns="http://schemas.openxmlformats.org/spreadsheetml/2006/main" count="360" uniqueCount="209">
  <si>
    <t>Na temelju Zakona o proračunu ("Narodne novine" broj 87/08, 136/12 i 15/15) i Pravilnika o polugodišnjem i godišnjem izvještaju o izvršenju proračuna ("Narodne novine" 24/13, 102/17 i 1/20) HOTELIJERSKO – TURISTIČKA I UGOSTITELJSKA ŠKOLA ZADAR podnosi školskom odboru:</t>
  </si>
  <si>
    <t>I. OPĆI DIO</t>
  </si>
  <si>
    <t>A. RAČUN PRIHODA I RASHODA</t>
  </si>
  <si>
    <t>PRIHODI I RASHODI</t>
  </si>
  <si>
    <t>6 Prihodi poslovanja</t>
  </si>
  <si>
    <t>7 Prihodi od prodaje nefinancijske imovine</t>
  </si>
  <si>
    <t>PRIHODI UKUPNO</t>
  </si>
  <si>
    <t>3 Rashodi poslovanja</t>
  </si>
  <si>
    <t>4 Rashodi za nabavu nefinancijske imovine</t>
  </si>
  <si>
    <t>RASHODI UKUPNO</t>
  </si>
  <si>
    <t>Razlika – višak/ manjak</t>
  </si>
  <si>
    <t>B. RAČUN FINANCIRANJA</t>
  </si>
  <si>
    <t>Oznaka</t>
  </si>
  <si>
    <t>5 Izdaci za financijsku imovinu i otplate zajmova</t>
  </si>
  <si>
    <t>8 Primici od financijske imovine i zaduživanja</t>
  </si>
  <si>
    <t>Neto zaduživanje/ financiranje</t>
  </si>
  <si>
    <t>Višak/ manjak iz prethodnih godina</t>
  </si>
  <si>
    <t>9 Preneseni višak prethodnih godina</t>
  </si>
  <si>
    <t>C. RASPOLOŽIVA SREDSTVA IZ PRETHODIH GODINA</t>
  </si>
  <si>
    <t>Višak/ manjak + neto financiranje + raspoloživa sredstva iz prethodnih godina</t>
  </si>
  <si>
    <t>Antuna Gustava Matoša 40, 23000 Zadar</t>
  </si>
  <si>
    <t>OIB: 91757782000 // RKP: 19773</t>
  </si>
  <si>
    <t>Hotelijersko – turistička i ugostiteljska škola Zadar</t>
  </si>
  <si>
    <t>Glava: 030-05 SREDNJOŠKOLSKO OBRAZOVANJE</t>
  </si>
  <si>
    <t>Aktivnost: A2204-01 Djelatnost srednjih škola</t>
  </si>
  <si>
    <t>Izvor financiranje: 451 F.P. i dodatni udio u porezu na dohodak</t>
  </si>
  <si>
    <t>OPĆI DIO</t>
  </si>
  <si>
    <t>Brojčana oznaka i naziv računa prihoda i rashoda</t>
  </si>
  <si>
    <t>Pomoći iz inozemstva i od subjekata unutar općeg proračuna</t>
  </si>
  <si>
    <t>Pomoći od izvanproračunskih korisnika</t>
  </si>
  <si>
    <t>Tekuće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</si>
  <si>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</si>
  <si>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</si>
  <si>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</si>
  <si>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</si>
  <si>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</si>
  <si>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</si>
  <si>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</t>
  </si>
  <si>
    <t>Prihodi od pruženih usluga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</si>
  <si>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</si>
  <si>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</si>
  <si>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</si>
  <si>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</si>
  <si>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VLASTITI IZVORI</t>
  </si>
  <si>
    <t>Pomoći temeljem prijenosa EU sredstava</t>
  </si>
  <si>
    <t>Prihodi od prodaje proizvoda i robe te pruženih usluga i prihodi od donacija</t>
  </si>
  <si>
    <t>Donacije od pravnih i fizičkih osoba izvan općeg proračuna</t>
  </si>
  <si>
    <t>Prihodi iz nadležnog proračuna za financiranje rashoda za nabavu nefinancijske imovine</t>
  </si>
  <si>
    <t>Rezultat poslovanja</t>
  </si>
  <si>
    <t>Višak prihoda</t>
  </si>
  <si>
    <t>Višak/manjak prihoda</t>
  </si>
  <si>
    <t>Indeks</t>
  </si>
  <si>
    <t>PRIHODI POSLOVANJA</t>
  </si>
  <si>
    <t>SVEUKUPNO PRIHOD + VIŠAK PRIHODA</t>
  </si>
  <si>
    <t>RASHODI POSLOVANJA</t>
  </si>
  <si>
    <t>SVEUKUPNO RASHODI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</si>
  <si>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</si>
  <si>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</si>
  <si>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</si>
  <si>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</si>
  <si>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</si>
  <si>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</si>
  <si>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</si>
  <si>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</si>
  <si>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</si>
  <si>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</si>
  <si>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</si>
  <si>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</si>
  <si>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</si>
  <si>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</si>
  <si>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</si>
  <si>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</si>
  <si>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</si>
  <si>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</si>
  <si>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</si>
  <si>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</si>
  <si>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</si>
  <si>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</si>
  <si>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</si>
  <si>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</si>
  <si>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</si>
  <si>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</si>
  <si>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</si>
  <si>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</si>
  <si>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</si>
  <si>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</si>
  <si>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</si>
  <si>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</si>
  <si>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</si>
  <si>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Zatezne kamate</t>
  </si>
  <si>
    <t>Rashodi za nabavu proizvedene dugotrajne imovine</t>
  </si>
  <si>
    <t>Postrojenja i oprema</t>
  </si>
  <si>
    <t>Oprema za održavanje i zaštitu</t>
  </si>
  <si>
    <t>Instrumenti, uređaji i strojevi</t>
  </si>
  <si>
    <t>Uređaji, strojevi i oprema za ostale namjene</t>
  </si>
  <si>
    <t>Knjige, umjetnička djela i ostale izložbene vrijednosti</t>
  </si>
  <si>
    <t>Knjige</t>
  </si>
  <si>
    <t>RASHODI ZA NABAVU NEFINANCIJSKE IMOVINE</t>
  </si>
  <si>
    <t>Ostale naknade troškova zaposlenima</t>
  </si>
  <si>
    <t>Materijal i sirovine</t>
  </si>
  <si>
    <t>Komunalne usluge</t>
  </si>
  <si>
    <t>Usluge promidžbe i informiranja</t>
  </si>
  <si>
    <t>Članarine i norme</t>
  </si>
  <si>
    <t>Ostali financijski rashodi</t>
  </si>
  <si>
    <t>Uredska oprema i namještaj</t>
  </si>
  <si>
    <t>Komunikacijska oprema</t>
  </si>
  <si>
    <t>MATERIJALNI RASHODI</t>
  </si>
  <si>
    <t>NAKNADE TROŠKOVA ZAPOSLENICIMA</t>
  </si>
  <si>
    <t>Naknade za prijevoz na posao i s posla</t>
  </si>
  <si>
    <t>Materijali  i sirovine</t>
  </si>
  <si>
    <t>Materijali i dijelovi za tekuće i investicijsko održavanje</t>
  </si>
  <si>
    <t>RASHODI ZA USLUGE</t>
  </si>
  <si>
    <t>Laboratorijske usluge</t>
  </si>
  <si>
    <t>Tekuće donacije građanima I kućanstvima</t>
  </si>
  <si>
    <t>Računala i računalna oprema</t>
  </si>
  <si>
    <t>Doprinosi za OZO</t>
  </si>
  <si>
    <t>Naknada za prijevoz</t>
  </si>
  <si>
    <t>OSTALI NESPOMENUTI RASHODI POSLOVANJA</t>
  </si>
  <si>
    <t>Izvor financiranje: 121 Višak/manjakprihoda - ZŽ</t>
  </si>
  <si>
    <t>Kapitalni projekt: K2204-02 Opremanje poslovnih prostorija</t>
  </si>
  <si>
    <t>Tekući projekt: T2204-04 Hitne intervencije u srednjim školama</t>
  </si>
  <si>
    <t>Aktivnost: A2204-07 Administracija i upravljanje</t>
  </si>
  <si>
    <t>Izvor financiranje: 51036 Državni proračun</t>
  </si>
  <si>
    <t>Novčana nak. posl. zbog nezapošljavanje osobe s inv.</t>
  </si>
  <si>
    <t>Program: 2204 SREDNJE ŠKOLSTVO – STANDARD</t>
  </si>
  <si>
    <t>Program: 2205 SREDNJE ŠKOLSTVO – IZNAD STANDARD</t>
  </si>
  <si>
    <t>Aktivnost: A2205-01 Javne potrebe u prosvjeti - korisnici u SŠ</t>
  </si>
  <si>
    <t>Izvor financiranje: 110 Opći prihodi i primici</t>
  </si>
  <si>
    <t>Aktivnost: A2205-12 Podizanje kvalitete i standarda u školstvu</t>
  </si>
  <si>
    <t>Izvor financiranje: 5103 Državni proračun</t>
  </si>
  <si>
    <t>Plaće po sudskim presudama</t>
  </si>
  <si>
    <t>Naknade predst. i izvršnim tijelima povjerenstav i sl.</t>
  </si>
  <si>
    <t>Knjge</t>
  </si>
  <si>
    <t>Izvor financiranje: 41 Prihodi za posebne namjene</t>
  </si>
  <si>
    <t>Izvor financiranje: 53 Proračun JLS</t>
  </si>
  <si>
    <t>Izvor financiranje: 61 Tekuće donacije – korisnici</t>
  </si>
  <si>
    <t>Izvor financiranje: 31 Vlastiti prihodi - korisnici</t>
  </si>
  <si>
    <t>Izvor financiranje: 42035 Višak prihoda poslovanja</t>
  </si>
  <si>
    <t>Izvor financiranje: 51037 Državni proračun</t>
  </si>
  <si>
    <t>Aktivnost: A2205-13 Financiranje deficitarnih zanimanja</t>
  </si>
  <si>
    <t>Udžbenici deficitarna zanimanja</t>
  </si>
  <si>
    <t>Aktivnost: A2205-22 Natjecanja i smotre u SŠ</t>
  </si>
  <si>
    <t>Ostali nespomenuti rashodi</t>
  </si>
  <si>
    <t>Program: 4301 RAZVOJNI PROJEKT EU</t>
  </si>
  <si>
    <t>Tekući projekt: T4301-67 Projekt Pomoćnici u nastavi</t>
  </si>
  <si>
    <t>Doprinosi za plaće</t>
  </si>
  <si>
    <t>Program: 4302 PROJEKTI EU</t>
  </si>
  <si>
    <t>Program: 4306 NACIONALNI EU PROJEKTI</t>
  </si>
  <si>
    <t>Tekući projekt: T4306-03 Inkluzija – korak bliže društvu bez prepreka 2021./2022.</t>
  </si>
  <si>
    <t>Naknade za prijevoz</t>
  </si>
  <si>
    <t>Tekući projekt: T4306-16 Projekt Erasmus+ Različiti zajedno</t>
  </si>
  <si>
    <t>Tekući projekt: T4302-90 Projekt Erasmus+ Luna</t>
  </si>
  <si>
    <t>Stručna usavršavanja</t>
  </si>
  <si>
    <t xml:space="preserve">Prihodi za posebne namjene </t>
  </si>
  <si>
    <t>UKUPNO</t>
  </si>
  <si>
    <t>Opći prihodi i primici</t>
  </si>
  <si>
    <t>Višak/manjak prihoda - ZŽ</t>
  </si>
  <si>
    <t>Predfinanciranje iz ŽP</t>
  </si>
  <si>
    <t>Vlastiti prihodi - korisnici</t>
  </si>
  <si>
    <t>Višak/manjak prihoda korisnici</t>
  </si>
  <si>
    <t>F.P. i dod. udio u por. na dohodak</t>
  </si>
  <si>
    <t>Državni proračun</t>
  </si>
  <si>
    <t>Proračun JLS</t>
  </si>
  <si>
    <t>Pomoći iz inozemstva</t>
  </si>
  <si>
    <t>Tekuće donacije - korisnici</t>
  </si>
  <si>
    <t>PRIHODI PO IZVORIMA FINANCIRANJA</t>
  </si>
  <si>
    <t>šifra:</t>
  </si>
  <si>
    <t>Izvor financiranja:</t>
  </si>
  <si>
    <t>RASHODI</t>
  </si>
  <si>
    <t>IF 51</t>
  </si>
  <si>
    <t>IF 54</t>
  </si>
  <si>
    <t>IF 19</t>
  </si>
  <si>
    <t>IF 11</t>
  </si>
  <si>
    <t>Prijenosi između proračunskih korisnika istog proračuna</t>
  </si>
  <si>
    <t>Tekući prijenosi između proračunskih korisnika istog proračuna temeljem prijenosa EU sredstava</t>
  </si>
  <si>
    <t>Prihodi od novčane naknade poslodavca zbog nezapošljavanja osoba s invaliditetom</t>
  </si>
  <si>
    <t>Tekući prijenosi između proračunskih korisnika istog proračuna</t>
  </si>
  <si>
    <t>Naknade građanima i kućanstvima na temelju osiguranja i druge nakanade</t>
  </si>
  <si>
    <t>Ostale naknade građanima i kućanstvima iz proračuna</t>
  </si>
  <si>
    <t>Naknade građanima i kućanstvima u novcu</t>
  </si>
  <si>
    <t>Ostali rashodi</t>
  </si>
  <si>
    <t>Tekuće donacije u novcu</t>
  </si>
  <si>
    <t xml:space="preserve">Izvor financiranje: 190062, 195062, 110, 51038, 540099 - </t>
  </si>
  <si>
    <t>Dopirnosi na plaće</t>
  </si>
  <si>
    <t>Naknade građanima i kućanstvima u naravi</t>
  </si>
  <si>
    <t>inozemstva</t>
  </si>
  <si>
    <t>POLUGODIŠNJI IZVJEŠTAJ O IZVRŠENJU FINANCIJSKOG PLANA ZA 2023. GODINU</t>
  </si>
  <si>
    <t>Izvorni financijski plan 2023.</t>
  </si>
  <si>
    <t>Tekući financijski plan 2023.</t>
  </si>
  <si>
    <t>Ostvarenje/ izvršenje 2023.</t>
  </si>
  <si>
    <t>Ostvarenje/ izvršenje 2022. KN</t>
  </si>
  <si>
    <t>Ostvarenje/ izvršenje 2022. EUR</t>
  </si>
  <si>
    <t>Financijski plan Hotelijersko – turističke i ugostiteljske škole za 2023. godinu</t>
  </si>
  <si>
    <t>POLUGODIŠNJI IZVJEŠTAJ O IZVRŠENJU FINANCIJSKOG PLANA 2023. PREMA EKONOMSKOJ KLASIFIKACIJI</t>
  </si>
  <si>
    <r>
      <t>6/3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</si>
  <si>
    <r>
      <t>6/5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</si>
  <si>
    <t>Izvršenje 2022. KN</t>
  </si>
  <si>
    <t>Izvršenje 2022. EUR</t>
  </si>
  <si>
    <t>Izvorni plan 2023.</t>
  </si>
  <si>
    <t>Tekući plan 2023.</t>
  </si>
  <si>
    <t>Izvršenje 2023.</t>
  </si>
  <si>
    <t>Aktivnost: A2205-34 Projekt e-škole</t>
  </si>
  <si>
    <t>Aktivnost: A2205-37 Zalihe menstrualnih higijenskih potrepština</t>
  </si>
  <si>
    <t>Materijal za hig. potrebe i njegu</t>
  </si>
  <si>
    <t>Doprinosi za obvezno osiguranje u slučaju nezaposlenosti</t>
  </si>
  <si>
    <t>Tekuće donacije u naravi</t>
  </si>
  <si>
    <t>GODIŠNJI IZVJEŠTAJ O IZVRŠENJU FINANCIJSKOG PLANA 2023. PREMA EKONOMSKOJ KLASIFIKACIJI, PROGRAMIMA TE IZVORIMA FINANCIRANJA</t>
  </si>
  <si>
    <t>GODIŠNJI IZVJEŠTAJ O IZVRŠENJU FINANCIJSKOG PLANA 2023. PREMA IZVORIMA FINANCIRANJA</t>
  </si>
  <si>
    <t>Predfinanciranje iz ŽP, Opći prihodi i primici, Državni proračun, Pomoći 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</si>
</sst>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??/1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4" tint="0.3999755851924192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3" fillId="3" borderId="32" xfId="0" applyFont="1" applyFill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38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3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0" fillId="0" borderId="0" xfId="0" applyNumberFormat="1"/>
    <xf numFmtId="0" fontId="7" fillId="2" borderId="21" xfId="0" applyFont="1" applyFill="1" applyBorder="1" applyAlignment="1">
      <alignment horizontal="right" vertical="center" wrapText="1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4" fontId="0" fillId="0" borderId="0" xfId="0" applyNumberFormat="1" applyAlignment="1">
      <alignment horizontal="center"/>
    </xf>
    <xf numFmtId="4" fontId="1" fillId="0" borderId="21" xfId="0" applyNumberFormat="1" applyFon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4" fontId="1" fillId="3" borderId="21" xfId="0" applyNumberFormat="1" applyFont="1" applyFill="1" applyBorder="1" applyAlignment="1">
      <alignment horizontal="right" vertical="center"/>
    </xf>
    <xf numFmtId="4" fontId="1" fillId="6" borderId="23" xfId="0" applyNumberFormat="1" applyFont="1" applyFill="1" applyBorder="1" applyAlignment="1">
      <alignment horizontal="right" vertical="center"/>
    </xf>
    <xf numFmtId="4" fontId="1" fillId="5" borderId="38" xfId="0" applyNumberFormat="1" applyFont="1" applyFill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1" fillId="5" borderId="27" xfId="0" applyNumberFormat="1" applyFont="1" applyFill="1" applyBorder="1" applyAlignment="1">
      <alignment horizontal="right" vertical="center"/>
    </xf>
    <xf numFmtId="4" fontId="1" fillId="3" borderId="27" xfId="0" applyNumberFormat="1" applyFont="1" applyFill="1" applyBorder="1" applyAlignment="1">
      <alignment horizontal="right" vertical="center"/>
    </xf>
    <xf numFmtId="4" fontId="1" fillId="3" borderId="20" xfId="0" applyNumberFormat="1" applyFont="1" applyFill="1" applyBorder="1" applyAlignment="1">
      <alignment horizontal="right" vertical="center"/>
    </xf>
    <xf numFmtId="4" fontId="0" fillId="4" borderId="21" xfId="0" applyNumberFormat="1" applyFill="1" applyBorder="1" applyAlignment="1">
      <alignment horizontal="right" vertical="center"/>
    </xf>
    <xf numFmtId="4" fontId="0" fillId="0" borderId="20" xfId="0" applyNumberFormat="1" applyBorder="1" applyAlignment="1">
      <alignment horizontal="right" vertical="center"/>
    </xf>
    <xf numFmtId="4" fontId="1" fillId="0" borderId="31" xfId="0" applyNumberFormat="1" applyFont="1" applyBorder="1" applyAlignment="1">
      <alignment vertical="center"/>
    </xf>
    <xf numFmtId="4" fontId="1" fillId="4" borderId="21" xfId="0" applyNumberFormat="1" applyFont="1" applyFill="1" applyBorder="1" applyAlignment="1">
      <alignment horizontal="right" vertical="center"/>
    </xf>
    <xf numFmtId="4" fontId="0" fillId="0" borderId="21" xfId="0" applyNumberFormat="1" applyFont="1" applyBorder="1" applyAlignment="1">
      <alignment horizontal="right" vertical="center"/>
    </xf>
    <xf numFmtId="0" fontId="3" fillId="3" borderId="29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4" fontId="0" fillId="4" borderId="27" xfId="0" applyNumberFormat="1" applyFill="1" applyBorder="1" applyAlignment="1">
      <alignment horizontal="right" vertical="center"/>
    </xf>
    <xf numFmtId="4" fontId="1" fillId="2" borderId="31" xfId="0" applyNumberFormat="1" applyFont="1" applyFill="1" applyBorder="1" applyAlignment="1">
      <alignment horizontal="right" vertical="center"/>
    </xf>
    <xf numFmtId="4" fontId="1" fillId="3" borderId="27" xfId="0" applyNumberFormat="1" applyFont="1" applyFill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0" fontId="0" fillId="0" borderId="0" xfId="0" applyAlignment="1">
      <alignment horizontal="center" wrapText="1"/>
    </xf>
    <xf numFmtId="4" fontId="0" fillId="0" borderId="32" xfId="0" applyNumberFormat="1" applyBorder="1" applyAlignment="1">
      <alignment horizontal="center"/>
    </xf>
    <xf numFmtId="4" fontId="0" fillId="0" borderId="34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4" fontId="0" fillId="0" borderId="20" xfId="0" applyNumberFormat="1" applyBorder="1" applyAlignment="1">
      <alignment horizontal="center"/>
    </xf>
    <xf numFmtId="4" fontId="1" fillId="3" borderId="21" xfId="0" applyNumberFormat="1" applyFont="1" applyFill="1" applyBorder="1" applyAlignment="1">
      <alignment horizontal="center"/>
    </xf>
    <xf numFmtId="4" fontId="0" fillId="0" borderId="12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4" fontId="0" fillId="0" borderId="12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4" fontId="0" fillId="0" borderId="32" xfId="0" applyNumberFormat="1" applyBorder="1" applyAlignment="1">
      <alignment horizontal="center" vertical="center"/>
    </xf>
    <xf numFmtId="4" fontId="0" fillId="0" borderId="34" xfId="0" applyNumberForma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4" fontId="0" fillId="0" borderId="35" xfId="0" applyNumberFormat="1" applyBorder="1" applyAlignment="1">
      <alignment horizontal="center" wrapText="1"/>
    </xf>
    <xf numFmtId="4" fontId="0" fillId="0" borderId="37" xfId="0" applyNumberFormat="1" applyBorder="1" applyAlignment="1">
      <alignment horizontal="center" wrapText="1"/>
    </xf>
    <xf numFmtId="4" fontId="0" fillId="0" borderId="41" xfId="0" applyNumberFormat="1" applyBorder="1" applyAlignment="1">
      <alignment horizontal="center" wrapText="1"/>
    </xf>
    <xf numFmtId="4" fontId="0" fillId="0" borderId="42" xfId="0" applyNumberFormat="1" applyBorder="1" applyAlignment="1">
      <alignment horizontal="center" wrapText="1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4" fontId="1" fillId="3" borderId="12" xfId="0" applyNumberFormat="1" applyFont="1" applyFill="1" applyBorder="1" applyAlignment="1">
      <alignment horizontal="center"/>
    </xf>
    <xf numFmtId="4" fontId="1" fillId="3" borderId="18" xfId="0" applyNumberFormat="1" applyFont="1" applyFill="1" applyBorder="1" applyAlignment="1">
      <alignment horizontal="center"/>
    </xf>
    <xf numFmtId="4" fontId="5" fillId="0" borderId="35" xfId="0" applyNumberFormat="1" applyFont="1" applyBorder="1" applyAlignment="1">
      <alignment horizontal="center" vertical="center"/>
    </xf>
    <xf numFmtId="4" fontId="5" fillId="0" borderId="36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1" fillId="0" borderId="27" xfId="0" applyNumberFormat="1" applyFont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" fontId="3" fillId="0" borderId="35" xfId="0" applyNumberFormat="1" applyFont="1" applyBorder="1" applyAlignment="1">
      <alignment horizontal="center" vertical="center"/>
    </xf>
    <xf numFmtId="4" fontId="3" fillId="0" borderId="37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0" fillId="4" borderId="21" xfId="0" applyNumberFormat="1" applyFill="1" applyBorder="1" applyAlignment="1">
      <alignment horizontal="right" vertical="center"/>
    </xf>
    <xf numFmtId="4" fontId="0" fillId="4" borderId="27" xfId="0" applyNumberFormat="1" applyFill="1" applyBorder="1" applyAlignment="1">
      <alignment horizontal="right" vertical="center"/>
    </xf>
    <xf numFmtId="4" fontId="0" fillId="4" borderId="26" xfId="0" applyNumberFormat="1" applyFill="1" applyBorder="1" applyAlignment="1">
      <alignment horizontal="right" vertical="center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0" fillId="4" borderId="27" xfId="0" applyNumberFormat="1" applyFill="1" applyBorder="1" applyAlignment="1">
      <alignment horizontal="center" vertical="center"/>
    </xf>
    <xf numFmtId="4" fontId="0" fillId="4" borderId="26" xfId="0" applyNumberFormat="1" applyFill="1" applyBorder="1" applyAlignment="1">
      <alignment horizontal="center" vertical="center"/>
    </xf>
    <xf numFmtId="4" fontId="5" fillId="0" borderId="37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0" fillId="0" borderId="27" xfId="0" applyNumberForma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3" fillId="3" borderId="12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4" fontId="7" fillId="2" borderId="31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vertical="center" wrapText="1"/>
    </xf>
    <xf numFmtId="4" fontId="3" fillId="3" borderId="32" xfId="0" applyNumberFormat="1" applyFont="1" applyFill="1" applyBorder="1" applyAlignment="1">
      <alignment horizontal="center" vertical="center"/>
    </xf>
    <xf numFmtId="4" fontId="3" fillId="3" borderId="34" xfId="0" applyNumberFormat="1" applyFont="1" applyFill="1" applyBorder="1" applyAlignment="1">
      <alignment horizontal="center" vertical="center"/>
    </xf>
    <xf numFmtId="4" fontId="1" fillId="4" borderId="21" xfId="0" applyNumberFormat="1" applyFont="1" applyFill="1" applyBorder="1" applyAlignment="1">
      <alignment horizontal="right" vertical="center"/>
    </xf>
    <xf numFmtId="4" fontId="3" fillId="3" borderId="29" xfId="0" applyNumberFormat="1" applyFont="1" applyFill="1" applyBorder="1" applyAlignment="1">
      <alignment horizontal="center" vertical="center"/>
    </xf>
    <xf numFmtId="4" fontId="3" fillId="3" borderId="30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/>
    </xf>
    <xf numFmtId="4" fontId="0" fillId="4" borderId="21" xfId="0" applyNumberFormat="1" applyFont="1" applyFill="1" applyBorder="1" applyAlignment="1">
      <alignment horizontal="right" vertical="center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2" fillId="0" borderId="35" xfId="0" applyNumberFormat="1" applyFont="1" applyBorder="1" applyAlignment="1">
      <alignment horizontal="center" vertical="center" wrapText="1"/>
    </xf>
    <xf numFmtId="4" fontId="2" fillId="0" borderId="37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5" fillId="4" borderId="35" xfId="0" applyNumberFormat="1" applyFont="1" applyFill="1" applyBorder="1" applyAlignment="1">
      <alignment horizontal="center" vertical="center" wrapText="1"/>
    </xf>
    <xf numFmtId="4" fontId="5" fillId="4" borderId="37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4" fontId="0" fillId="0" borderId="14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4" fontId="1" fillId="3" borderId="27" xfId="0" applyNumberFormat="1" applyFont="1" applyFill="1" applyBorder="1" applyAlignment="1">
      <alignment horizontal="right" vertical="center"/>
    </xf>
    <xf numFmtId="4" fontId="1" fillId="3" borderId="38" xfId="0" applyNumberFormat="1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4" fontId="0" fillId="0" borderId="29" xfId="0" applyNumberFormat="1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25" xfId="0" applyNumberFormat="1" applyFont="1" applyBorder="1" applyAlignment="1">
      <alignment horizontal="center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left" vertical="center"/>
    </xf>
    <xf numFmtId="4" fontId="1" fillId="3" borderId="12" xfId="0" applyNumberFormat="1" applyFont="1" applyFill="1" applyBorder="1" applyAlignment="1">
      <alignment horizontal="center" vertical="center"/>
    </xf>
    <xf numFmtId="4" fontId="1" fillId="3" borderId="18" xfId="0" applyNumberFormat="1" applyFont="1" applyFill="1" applyBorder="1" applyAlignment="1">
      <alignment horizontal="center" vertical="center"/>
    </xf>
    <xf numFmtId="4" fontId="1" fillId="3" borderId="35" xfId="0" applyNumberFormat="1" applyFont="1" applyFill="1" applyBorder="1" applyAlignment="1">
      <alignment horizontal="center" vertical="center"/>
    </xf>
    <xf numFmtId="4" fontId="1" fillId="3" borderId="37" xfId="0" applyNumberFormat="1" applyFont="1" applyFill="1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1" fillId="5" borderId="35" xfId="0" applyNumberFormat="1" applyFont="1" applyFill="1" applyBorder="1" applyAlignment="1">
      <alignment horizontal="center" vertical="center"/>
    </xf>
    <xf numFmtId="4" fontId="1" fillId="5" borderId="37" xfId="0" applyNumberFormat="1" applyFont="1" applyFill="1" applyBorder="1" applyAlignment="1">
      <alignment horizontal="center" vertical="center"/>
    </xf>
    <xf numFmtId="4" fontId="1" fillId="3" borderId="29" xfId="0" applyNumberFormat="1" applyFont="1" applyFill="1" applyBorder="1" applyAlignment="1">
      <alignment horizontal="center" vertical="center"/>
    </xf>
    <xf numFmtId="4" fontId="1" fillId="3" borderId="30" xfId="0" applyNumberFormat="1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/>
    </xf>
    <xf numFmtId="4" fontId="1" fillId="3" borderId="25" xfId="0" applyNumberFormat="1" applyFont="1" applyFill="1" applyBorder="1" applyAlignment="1">
      <alignment horizontal="center" vertical="center"/>
    </xf>
    <xf numFmtId="4" fontId="0" fillId="0" borderId="29" xfId="0" applyNumberFormat="1" applyFont="1" applyBorder="1" applyAlignment="1">
      <alignment horizontal="center" vertical="center"/>
    </xf>
    <xf numFmtId="4" fontId="0" fillId="0" borderId="3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4" fontId="1" fillId="5" borderId="29" xfId="0" applyNumberFormat="1" applyFont="1" applyFill="1" applyBorder="1" applyAlignment="1">
      <alignment horizontal="center" vertical="center"/>
    </xf>
    <xf numFmtId="4" fontId="1" fillId="5" borderId="30" xfId="0" applyNumberFormat="1" applyFont="1" applyFill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25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4" fontId="1" fillId="6" borderId="23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vertical="center" wrapText="1"/>
    </xf>
    <xf numFmtId="4" fontId="0" fillId="4" borderId="12" xfId="0" applyNumberFormat="1" applyFill="1" applyBorder="1" applyAlignment="1">
      <alignment horizontal="center" vertical="center"/>
    </xf>
    <xf numFmtId="4" fontId="0" fillId="4" borderId="18" xfId="0" applyNumberFormat="1" applyFill="1" applyBorder="1" applyAlignment="1">
      <alignment horizontal="center" vertical="center"/>
    </xf>
    <xf numFmtId="4" fontId="0" fillId="4" borderId="14" xfId="0" applyNumberFormat="1" applyFill="1" applyBorder="1" applyAlignment="1">
      <alignment horizontal="center" vertical="center"/>
    </xf>
    <xf numFmtId="4" fontId="0" fillId="4" borderId="25" xfId="0" applyNumberFormat="1" applyFill="1" applyBorder="1" applyAlignment="1">
      <alignment horizontal="center" vertical="center"/>
    </xf>
    <xf numFmtId="4" fontId="1" fillId="3" borderId="26" xfId="0" applyNumberFormat="1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/>
    </xf>
    <xf numFmtId="4" fontId="0" fillId="4" borderId="32" xfId="0" applyNumberFormat="1" applyFill="1" applyBorder="1" applyAlignment="1">
      <alignment horizontal="center" vertical="center"/>
    </xf>
    <xf numFmtId="4" fontId="0" fillId="4" borderId="34" xfId="0" applyNumberFormat="1" applyFill="1" applyBorder="1" applyAlignment="1">
      <alignment horizontal="center" vertical="center"/>
    </xf>
    <xf numFmtId="4" fontId="0" fillId="4" borderId="16" xfId="0" applyNumberFormat="1" applyFill="1" applyBorder="1" applyAlignment="1">
      <alignment horizontal="center" vertical="center"/>
    </xf>
    <xf numFmtId="4" fontId="0" fillId="4" borderId="19" xfId="0" applyNumberForma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4" fontId="1" fillId="0" borderId="39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7" zoomScaleNormal="100" workbookViewId="0">
      <selection activeCell="E20" sqref="E20:F20"/>
    </sheetView>
  </sheetViews>
  <sheetFormatPr defaultRowHeight="15" x14ac:dyDescent="0.25"/>
  <cols>
    <col min="1" max="14" width="8.85546875" customWidth="1"/>
    <col min="17" max="17" width="12.7109375" bestFit="1" customWidth="1"/>
  </cols>
  <sheetData>
    <row r="1" spans="1:14" x14ac:dyDescent="0.25">
      <c r="A1" s="1" t="s">
        <v>22</v>
      </c>
    </row>
    <row r="2" spans="1:14" x14ac:dyDescent="0.25">
      <c r="A2" t="s">
        <v>20</v>
      </c>
    </row>
    <row r="3" spans="1:14" x14ac:dyDescent="0.25">
      <c r="A3" t="s">
        <v>21</v>
      </c>
    </row>
    <row r="5" spans="1:14" ht="15" customHeight="1" x14ac:dyDescent="0.25">
      <c r="A5" s="81" t="s">
        <v>0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8" spans="1:14" x14ac:dyDescent="0.25">
      <c r="A8" s="111" t="s">
        <v>186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</row>
    <row r="10" spans="1:14" x14ac:dyDescent="0.25">
      <c r="A10" t="s">
        <v>1</v>
      </c>
    </row>
    <row r="12" spans="1:14" x14ac:dyDescent="0.25">
      <c r="A12" s="1" t="s">
        <v>192</v>
      </c>
    </row>
    <row r="14" spans="1:14" ht="15.75" thickBot="1" x14ac:dyDescent="0.3">
      <c r="A14" s="1" t="s">
        <v>2</v>
      </c>
    </row>
    <row r="15" spans="1:14" ht="15" customHeight="1" x14ac:dyDescent="0.25">
      <c r="A15" s="120" t="s">
        <v>3</v>
      </c>
      <c r="B15" s="121"/>
      <c r="C15" s="121"/>
      <c r="D15" s="122"/>
      <c r="E15" s="86" t="s">
        <v>190</v>
      </c>
      <c r="F15" s="86"/>
      <c r="G15" s="86" t="s">
        <v>191</v>
      </c>
      <c r="H15" s="86"/>
      <c r="I15" s="104" t="s">
        <v>187</v>
      </c>
      <c r="J15" s="105"/>
      <c r="K15" s="104" t="s">
        <v>188</v>
      </c>
      <c r="L15" s="105"/>
      <c r="M15" s="86" t="s">
        <v>189</v>
      </c>
      <c r="N15" s="86"/>
    </row>
    <row r="16" spans="1:14" x14ac:dyDescent="0.25">
      <c r="A16" s="123"/>
      <c r="B16" s="124"/>
      <c r="C16" s="124"/>
      <c r="D16" s="125"/>
      <c r="E16" s="87"/>
      <c r="F16" s="87"/>
      <c r="G16" s="87"/>
      <c r="H16" s="87"/>
      <c r="I16" s="106"/>
      <c r="J16" s="107"/>
      <c r="K16" s="106"/>
      <c r="L16" s="107"/>
      <c r="M16" s="87"/>
      <c r="N16" s="87"/>
    </row>
    <row r="17" spans="1:17" ht="15.75" thickBot="1" x14ac:dyDescent="0.3">
      <c r="A17" s="128">
        <v>1</v>
      </c>
      <c r="B17" s="129"/>
      <c r="C17" s="129"/>
      <c r="D17" s="130"/>
      <c r="E17" s="126">
        <v>2</v>
      </c>
      <c r="F17" s="127"/>
      <c r="G17" s="94">
        <v>3</v>
      </c>
      <c r="H17" s="94"/>
      <c r="I17" s="94">
        <v>4</v>
      </c>
      <c r="J17" s="94"/>
      <c r="K17" s="94">
        <v>5</v>
      </c>
      <c r="L17" s="94"/>
      <c r="M17" s="94">
        <v>6</v>
      </c>
      <c r="N17" s="94"/>
    </row>
    <row r="18" spans="1:17" x14ac:dyDescent="0.25">
      <c r="A18" s="112" t="s">
        <v>4</v>
      </c>
      <c r="B18" s="113"/>
      <c r="C18" s="113"/>
      <c r="D18" s="114"/>
      <c r="E18" s="118">
        <v>6000534.2599999998</v>
      </c>
      <c r="F18" s="119"/>
      <c r="G18" s="90">
        <f>E18/7.5345</f>
        <v>796407.75897537987</v>
      </c>
      <c r="H18" s="91"/>
      <c r="I18" s="118">
        <f>1552330.53-I20</f>
        <v>1530460.1</v>
      </c>
      <c r="J18" s="119"/>
      <c r="K18" s="118">
        <f>1789168.89-30664.7</f>
        <v>1758504.19</v>
      </c>
      <c r="L18" s="119"/>
      <c r="M18" s="118">
        <v>901892.78</v>
      </c>
      <c r="N18" s="119"/>
      <c r="Q18" s="37"/>
    </row>
    <row r="19" spans="1:17" x14ac:dyDescent="0.25">
      <c r="A19" s="115" t="s">
        <v>5</v>
      </c>
      <c r="B19" s="116"/>
      <c r="C19" s="116"/>
      <c r="D19" s="117"/>
      <c r="E19" s="90"/>
      <c r="F19" s="91"/>
      <c r="G19" s="90">
        <f>E19/7.5345</f>
        <v>0</v>
      </c>
      <c r="H19" s="91"/>
      <c r="I19" s="90"/>
      <c r="J19" s="91"/>
      <c r="K19" s="90"/>
      <c r="L19" s="91"/>
      <c r="M19" s="90"/>
      <c r="N19" s="91"/>
    </row>
    <row r="20" spans="1:17" x14ac:dyDescent="0.25">
      <c r="A20" s="115" t="s">
        <v>17</v>
      </c>
      <c r="B20" s="116"/>
      <c r="C20" s="116"/>
      <c r="D20" s="117"/>
      <c r="E20" s="90">
        <v>103547.03</v>
      </c>
      <c r="F20" s="91"/>
      <c r="G20" s="90">
        <f>E20/7.5345</f>
        <v>13743.052624593536</v>
      </c>
      <c r="H20" s="91"/>
      <c r="I20" s="90">
        <v>21870.43</v>
      </c>
      <c r="J20" s="91"/>
      <c r="K20" s="90">
        <v>30664.7</v>
      </c>
      <c r="L20" s="91"/>
      <c r="M20" s="90">
        <v>29933.95</v>
      </c>
      <c r="N20" s="91"/>
    </row>
    <row r="21" spans="1:17" x14ac:dyDescent="0.25">
      <c r="A21" s="137" t="s">
        <v>6</v>
      </c>
      <c r="B21" s="138"/>
      <c r="C21" s="138"/>
      <c r="D21" s="139"/>
      <c r="E21" s="140">
        <f>SUM(E18:F20)</f>
        <v>6104081.29</v>
      </c>
      <c r="F21" s="141"/>
      <c r="G21" s="89">
        <f>SUM(G18:H20)</f>
        <v>810150.81159997336</v>
      </c>
      <c r="H21" s="89"/>
      <c r="I21" s="89">
        <f>SUM(I18:J20)</f>
        <v>1552330.53</v>
      </c>
      <c r="J21" s="89"/>
      <c r="K21" s="89">
        <f>SUM(K18:L20)</f>
        <v>1789168.89</v>
      </c>
      <c r="L21" s="89"/>
      <c r="M21" s="89">
        <f>SUM(M18:N20)</f>
        <v>931826.73</v>
      </c>
      <c r="N21" s="89"/>
      <c r="Q21" s="37"/>
    </row>
    <row r="22" spans="1:17" x14ac:dyDescent="0.25">
      <c r="A22" s="115" t="s">
        <v>7</v>
      </c>
      <c r="B22" s="116"/>
      <c r="C22" s="116"/>
      <c r="D22" s="117"/>
      <c r="E22" s="90">
        <f>5965679.35-E23</f>
        <v>5905041.1199999992</v>
      </c>
      <c r="F22" s="91"/>
      <c r="G22" s="90">
        <f>E22/7.5345</f>
        <v>783733.64125024865</v>
      </c>
      <c r="H22" s="91"/>
      <c r="I22" s="90">
        <f>1552330.53-I23</f>
        <v>1549543.34</v>
      </c>
      <c r="J22" s="91"/>
      <c r="K22" s="90">
        <f>1789168.89-2800-2000</f>
        <v>1784368.89</v>
      </c>
      <c r="L22" s="91"/>
      <c r="M22" s="90">
        <v>916085.08</v>
      </c>
      <c r="N22" s="91"/>
      <c r="Q22" s="37"/>
    </row>
    <row r="23" spans="1:17" x14ac:dyDescent="0.25">
      <c r="A23" s="115" t="s">
        <v>8</v>
      </c>
      <c r="B23" s="116"/>
      <c r="C23" s="116"/>
      <c r="D23" s="117"/>
      <c r="E23" s="90">
        <f>60638.23</f>
        <v>60638.23</v>
      </c>
      <c r="F23" s="91"/>
      <c r="G23" s="90">
        <f>E23/7.5345</f>
        <v>8048.0761828920304</v>
      </c>
      <c r="H23" s="91"/>
      <c r="I23" s="90">
        <v>2787.19</v>
      </c>
      <c r="J23" s="91"/>
      <c r="K23" s="90">
        <f>1500+1300+1000+1000</f>
        <v>4800</v>
      </c>
      <c r="L23" s="91"/>
      <c r="M23" s="90"/>
      <c r="N23" s="91"/>
      <c r="Q23" s="37"/>
    </row>
    <row r="24" spans="1:17" x14ac:dyDescent="0.25">
      <c r="A24" s="137" t="s">
        <v>9</v>
      </c>
      <c r="B24" s="138"/>
      <c r="C24" s="138"/>
      <c r="D24" s="139"/>
      <c r="E24" s="140">
        <f t="shared" ref="E24:K24" si="0">SUM(E22:F23)</f>
        <v>5965679.3499999996</v>
      </c>
      <c r="F24" s="141"/>
      <c r="G24" s="89">
        <f>SUM(G22:H23)</f>
        <v>791781.71743314073</v>
      </c>
      <c r="H24" s="89"/>
      <c r="I24" s="89">
        <f>SUM(I22:J23)</f>
        <v>1552330.53</v>
      </c>
      <c r="J24" s="89"/>
      <c r="K24" s="89">
        <f t="shared" si="0"/>
        <v>1789168.89</v>
      </c>
      <c r="L24" s="89"/>
      <c r="M24" s="89">
        <f>SUM(M22:N23)</f>
        <v>916085.08</v>
      </c>
      <c r="N24" s="89"/>
      <c r="Q24" s="37"/>
    </row>
    <row r="25" spans="1:17" ht="15.75" thickBot="1" x14ac:dyDescent="0.3">
      <c r="A25" s="108" t="s">
        <v>10</v>
      </c>
      <c r="B25" s="109"/>
      <c r="C25" s="109"/>
      <c r="D25" s="110"/>
      <c r="E25" s="92">
        <f>E21-E24</f>
        <v>138401.94000000041</v>
      </c>
      <c r="F25" s="93"/>
      <c r="G25" s="92">
        <f>G21-G24</f>
        <v>18369.094166832627</v>
      </c>
      <c r="H25" s="93"/>
      <c r="I25" s="92">
        <f t="shared" ref="I25:K25" si="1">I21-I24</f>
        <v>0</v>
      </c>
      <c r="J25" s="93"/>
      <c r="K25" s="92">
        <f t="shared" si="1"/>
        <v>0</v>
      </c>
      <c r="L25" s="93"/>
      <c r="M25" s="92">
        <f>M21-M24</f>
        <v>15741.650000000023</v>
      </c>
      <c r="N25" s="93"/>
    </row>
    <row r="26" spans="1:17" x14ac:dyDescent="0.25">
      <c r="Q26" s="37"/>
    </row>
    <row r="27" spans="1:17" ht="15.75" thickBot="1" x14ac:dyDescent="0.3">
      <c r="A27" s="1" t="s">
        <v>11</v>
      </c>
      <c r="Q27" s="37"/>
    </row>
    <row r="28" spans="1:17" ht="15" customHeight="1" x14ac:dyDescent="0.25">
      <c r="A28" s="102" t="s">
        <v>12</v>
      </c>
      <c r="B28" s="102"/>
      <c r="C28" s="102"/>
      <c r="D28" s="102"/>
      <c r="E28" s="86" t="s">
        <v>190</v>
      </c>
      <c r="F28" s="86"/>
      <c r="G28" s="86" t="s">
        <v>191</v>
      </c>
      <c r="H28" s="86"/>
      <c r="I28" s="104" t="s">
        <v>187</v>
      </c>
      <c r="J28" s="105"/>
      <c r="K28" s="104" t="s">
        <v>188</v>
      </c>
      <c r="L28" s="105"/>
      <c r="M28" s="86" t="s">
        <v>189</v>
      </c>
      <c r="N28" s="86"/>
      <c r="Q28" s="37"/>
    </row>
    <row r="29" spans="1:17" ht="15.75" thickBot="1" x14ac:dyDescent="0.3">
      <c r="A29" s="103"/>
      <c r="B29" s="103"/>
      <c r="C29" s="103"/>
      <c r="D29" s="103"/>
      <c r="E29" s="87"/>
      <c r="F29" s="87"/>
      <c r="G29" s="87"/>
      <c r="H29" s="87"/>
      <c r="I29" s="106"/>
      <c r="J29" s="107"/>
      <c r="K29" s="106"/>
      <c r="L29" s="107"/>
      <c r="M29" s="87"/>
      <c r="N29" s="87"/>
      <c r="Q29" s="37"/>
    </row>
    <row r="30" spans="1:17" x14ac:dyDescent="0.25">
      <c r="A30" s="95" t="s">
        <v>14</v>
      </c>
      <c r="B30" s="95"/>
      <c r="C30" s="95"/>
      <c r="D30" s="95"/>
      <c r="E30" s="82"/>
      <c r="F30" s="83"/>
      <c r="G30" s="82"/>
      <c r="H30" s="83"/>
      <c r="I30" s="82"/>
      <c r="J30" s="83"/>
      <c r="K30" s="82"/>
      <c r="L30" s="83"/>
      <c r="M30" s="82"/>
      <c r="N30" s="83"/>
    </row>
    <row r="31" spans="1:17" x14ac:dyDescent="0.25">
      <c r="A31" s="96" t="s">
        <v>13</v>
      </c>
      <c r="B31" s="96"/>
      <c r="C31" s="96"/>
      <c r="D31" s="96"/>
      <c r="E31" s="98"/>
      <c r="F31" s="99"/>
      <c r="G31" s="84"/>
      <c r="H31" s="84"/>
      <c r="I31" s="84"/>
      <c r="J31" s="84"/>
      <c r="K31" s="84"/>
      <c r="L31" s="84"/>
      <c r="M31" s="84"/>
      <c r="N31" s="84"/>
    </row>
    <row r="32" spans="1:17" ht="15.75" thickBot="1" x14ac:dyDescent="0.3">
      <c r="A32" s="97" t="s">
        <v>15</v>
      </c>
      <c r="B32" s="97"/>
      <c r="C32" s="97"/>
      <c r="D32" s="97"/>
      <c r="E32" s="100"/>
      <c r="F32" s="101"/>
      <c r="G32" s="85"/>
      <c r="H32" s="85"/>
      <c r="I32" s="85"/>
      <c r="J32" s="85"/>
      <c r="K32" s="85"/>
      <c r="L32" s="85"/>
      <c r="M32" s="85"/>
      <c r="N32" s="85"/>
    </row>
    <row r="34" spans="1:14" ht="15.75" thickBot="1" x14ac:dyDescent="0.3">
      <c r="A34" s="1" t="s">
        <v>18</v>
      </c>
    </row>
    <row r="35" spans="1:14" ht="15" customHeight="1" x14ac:dyDescent="0.25">
      <c r="A35" s="102" t="s">
        <v>12</v>
      </c>
      <c r="B35" s="102"/>
      <c r="C35" s="102"/>
      <c r="D35" s="102"/>
      <c r="E35" s="86" t="s">
        <v>190</v>
      </c>
      <c r="F35" s="86"/>
      <c r="G35" s="86" t="s">
        <v>191</v>
      </c>
      <c r="H35" s="86"/>
      <c r="I35" s="104" t="s">
        <v>187</v>
      </c>
      <c r="J35" s="105"/>
      <c r="K35" s="104" t="s">
        <v>188</v>
      </c>
      <c r="L35" s="105"/>
      <c r="M35" s="86" t="s">
        <v>189</v>
      </c>
      <c r="N35" s="86"/>
    </row>
    <row r="36" spans="1:14" ht="15.75" thickBot="1" x14ac:dyDescent="0.3">
      <c r="A36" s="103"/>
      <c r="B36" s="103"/>
      <c r="C36" s="103"/>
      <c r="D36" s="103"/>
      <c r="E36" s="87"/>
      <c r="F36" s="87"/>
      <c r="G36" s="87"/>
      <c r="H36" s="87"/>
      <c r="I36" s="106"/>
      <c r="J36" s="107"/>
      <c r="K36" s="106"/>
      <c r="L36" s="107"/>
      <c r="M36" s="87"/>
      <c r="N36" s="87"/>
    </row>
    <row r="37" spans="1:14" x14ac:dyDescent="0.25">
      <c r="A37" s="95" t="s">
        <v>16</v>
      </c>
      <c r="B37" s="95"/>
      <c r="C37" s="95"/>
      <c r="D37" s="95"/>
      <c r="E37" s="82">
        <f>E20</f>
        <v>103547.03</v>
      </c>
      <c r="F37" s="83"/>
      <c r="G37" s="88">
        <f>G20</f>
        <v>13743.052624593536</v>
      </c>
      <c r="H37" s="88"/>
      <c r="I37" s="88">
        <f t="shared" ref="I37" si="2">I20</f>
        <v>21870.43</v>
      </c>
      <c r="J37" s="88"/>
      <c r="K37" s="88">
        <f t="shared" ref="K37" si="3">K20</f>
        <v>30664.7</v>
      </c>
      <c r="L37" s="88"/>
      <c r="M37" s="88">
        <f t="shared" ref="M37" si="4">M20</f>
        <v>29933.95</v>
      </c>
      <c r="N37" s="88"/>
    </row>
    <row r="38" spans="1:14" ht="15" customHeight="1" x14ac:dyDescent="0.25">
      <c r="A38" s="131" t="s">
        <v>19</v>
      </c>
      <c r="B38" s="131"/>
      <c r="C38" s="131"/>
      <c r="D38" s="131"/>
      <c r="E38" s="133">
        <f>E25</f>
        <v>138401.94000000041</v>
      </c>
      <c r="F38" s="134"/>
      <c r="G38" s="133">
        <f>G25</f>
        <v>18369.094166832627</v>
      </c>
      <c r="H38" s="134"/>
      <c r="I38" s="133">
        <f t="shared" ref="I38:K38" si="5">I25</f>
        <v>0</v>
      </c>
      <c r="J38" s="134"/>
      <c r="K38" s="133">
        <f t="shared" si="5"/>
        <v>0</v>
      </c>
      <c r="L38" s="134"/>
      <c r="M38" s="133">
        <f>M25</f>
        <v>15741.650000000023</v>
      </c>
      <c r="N38" s="134"/>
    </row>
    <row r="39" spans="1:14" ht="15.75" thickBot="1" x14ac:dyDescent="0.3">
      <c r="A39" s="132"/>
      <c r="B39" s="132"/>
      <c r="C39" s="132"/>
      <c r="D39" s="132"/>
      <c r="E39" s="135"/>
      <c r="F39" s="136"/>
      <c r="G39" s="135"/>
      <c r="H39" s="136"/>
      <c r="I39" s="135"/>
      <c r="J39" s="136"/>
      <c r="K39" s="135"/>
      <c r="L39" s="136"/>
      <c r="M39" s="135"/>
      <c r="N39" s="136"/>
    </row>
  </sheetData>
  <customSheetViews>
    <customSheetView guid="{005C429F-8448-44DF-83AD-8A930973E873}" topLeftCell="A10">
      <selection activeCell="N35" sqref="N35"/>
      <pageMargins left="0.7" right="0.7" top="0.75" bottom="0.75" header="0.3" footer="0.3"/>
      <pageSetup paperSize="9" scale="92" orientation="portrait" r:id="rId1"/>
    </customSheetView>
  </customSheetViews>
  <mergeCells count="104">
    <mergeCell ref="K23:L23"/>
    <mergeCell ref="I15:J16"/>
    <mergeCell ref="I17:J17"/>
    <mergeCell ref="I18:J18"/>
    <mergeCell ref="I19:J19"/>
    <mergeCell ref="I20:J20"/>
    <mergeCell ref="I21:J21"/>
    <mergeCell ref="I22:J22"/>
    <mergeCell ref="I23:J23"/>
    <mergeCell ref="K18:L18"/>
    <mergeCell ref="K19:L19"/>
    <mergeCell ref="K20:L20"/>
    <mergeCell ref="K21:L21"/>
    <mergeCell ref="K22:L22"/>
    <mergeCell ref="G28:H29"/>
    <mergeCell ref="A20:D20"/>
    <mergeCell ref="A22:D22"/>
    <mergeCell ref="A23:D23"/>
    <mergeCell ref="A21:D21"/>
    <mergeCell ref="A24:D24"/>
    <mergeCell ref="E20:F20"/>
    <mergeCell ref="E21:F21"/>
    <mergeCell ref="E22:F22"/>
    <mergeCell ref="E23:F23"/>
    <mergeCell ref="E24:F24"/>
    <mergeCell ref="M35:N36"/>
    <mergeCell ref="A38:D39"/>
    <mergeCell ref="A37:D37"/>
    <mergeCell ref="E37:F37"/>
    <mergeCell ref="K37:L37"/>
    <mergeCell ref="M37:N37"/>
    <mergeCell ref="E38:F39"/>
    <mergeCell ref="K38:L39"/>
    <mergeCell ref="M38:N39"/>
    <mergeCell ref="I37:J37"/>
    <mergeCell ref="I38:J39"/>
    <mergeCell ref="G38:H39"/>
    <mergeCell ref="A35:D36"/>
    <mergeCell ref="E35:F36"/>
    <mergeCell ref="K35:L36"/>
    <mergeCell ref="I35:J36"/>
    <mergeCell ref="A8:N8"/>
    <mergeCell ref="A18:D18"/>
    <mergeCell ref="A19:D19"/>
    <mergeCell ref="E18:F18"/>
    <mergeCell ref="E19:F19"/>
    <mergeCell ref="M18:N18"/>
    <mergeCell ref="M19:N19"/>
    <mergeCell ref="A15:D16"/>
    <mergeCell ref="E15:F16"/>
    <mergeCell ref="K15:L16"/>
    <mergeCell ref="M15:N16"/>
    <mergeCell ref="E17:F17"/>
    <mergeCell ref="K17:L17"/>
    <mergeCell ref="M17:N17"/>
    <mergeCell ref="A17:D17"/>
    <mergeCell ref="M30:N30"/>
    <mergeCell ref="M31:N31"/>
    <mergeCell ref="M32:N32"/>
    <mergeCell ref="E31:F31"/>
    <mergeCell ref="E32:F32"/>
    <mergeCell ref="M28:N29"/>
    <mergeCell ref="A28:D29"/>
    <mergeCell ref="E28:F29"/>
    <mergeCell ref="M20:N20"/>
    <mergeCell ref="M21:N21"/>
    <mergeCell ref="M22:N22"/>
    <mergeCell ref="M23:N23"/>
    <mergeCell ref="M24:N24"/>
    <mergeCell ref="K24:L24"/>
    <mergeCell ref="K25:L25"/>
    <mergeCell ref="K28:L29"/>
    <mergeCell ref="A25:D25"/>
    <mergeCell ref="E25:F25"/>
    <mergeCell ref="I24:J24"/>
    <mergeCell ref="I25:J25"/>
    <mergeCell ref="I28:J29"/>
    <mergeCell ref="I30:J30"/>
    <mergeCell ref="I31:J31"/>
    <mergeCell ref="I32:J32"/>
    <mergeCell ref="A5:N6"/>
    <mergeCell ref="G30:H30"/>
    <mergeCell ref="G31:H31"/>
    <mergeCell ref="G32:H32"/>
    <mergeCell ref="G35:H36"/>
    <mergeCell ref="G37:H37"/>
    <mergeCell ref="G21:H21"/>
    <mergeCell ref="G22:H22"/>
    <mergeCell ref="G23:H23"/>
    <mergeCell ref="G24:H24"/>
    <mergeCell ref="G25:H25"/>
    <mergeCell ref="G15:H16"/>
    <mergeCell ref="G17:H17"/>
    <mergeCell ref="G18:H18"/>
    <mergeCell ref="G19:H19"/>
    <mergeCell ref="G20:H20"/>
    <mergeCell ref="M25:N25"/>
    <mergeCell ref="A30:D30"/>
    <mergeCell ref="A31:D31"/>
    <mergeCell ref="A32:D32"/>
    <mergeCell ref="E30:F30"/>
    <mergeCell ref="K30:L30"/>
    <mergeCell ref="K31:L31"/>
    <mergeCell ref="K32:L32"/>
  </mergeCells>
  <pageMargins left="0.7" right="0.7" top="0.75" bottom="0.75" header="0.3" footer="0.3"/>
  <pageSetup paperSize="9" scale="65" orientation="portrait" r:id="rId2"/>
  <ignoredErrors>
    <ignoredError sqref="G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3"/>
  <sheetViews>
    <sheetView zoomScaleNormal="100" workbookViewId="0">
      <selection activeCell="G26" sqref="G26:H27"/>
    </sheetView>
  </sheetViews>
  <sheetFormatPr defaultRowHeight="15" x14ac:dyDescent="0.25"/>
  <cols>
    <col min="1" max="1" width="5.28515625" customWidth="1"/>
    <col min="2" max="20" width="8.85546875" customWidth="1"/>
    <col min="21" max="21" width="13.7109375" bestFit="1" customWidth="1"/>
    <col min="22" max="22" width="8.85546875" customWidth="1"/>
  </cols>
  <sheetData>
    <row r="1" spans="1:19" x14ac:dyDescent="0.25">
      <c r="A1" s="1" t="s">
        <v>22</v>
      </c>
    </row>
    <row r="2" spans="1:19" x14ac:dyDescent="0.25">
      <c r="A2" t="s">
        <v>20</v>
      </c>
    </row>
    <row r="3" spans="1:19" x14ac:dyDescent="0.25">
      <c r="A3" t="s">
        <v>21</v>
      </c>
    </row>
    <row r="5" spans="1:19" x14ac:dyDescent="0.25">
      <c r="A5" s="111" t="s">
        <v>193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7" spans="1:19" ht="15.75" thickBot="1" x14ac:dyDescent="0.3">
      <c r="A7" s="1" t="s">
        <v>26</v>
      </c>
    </row>
    <row r="8" spans="1:19" ht="15" customHeight="1" x14ac:dyDescent="0.25">
      <c r="A8" s="218" t="s">
        <v>27</v>
      </c>
      <c r="B8" s="219"/>
      <c r="C8" s="219"/>
      <c r="D8" s="219"/>
      <c r="E8" s="219"/>
      <c r="F8" s="225"/>
      <c r="G8" s="218" t="s">
        <v>196</v>
      </c>
      <c r="H8" s="219"/>
      <c r="I8" s="218" t="s">
        <v>197</v>
      </c>
      <c r="J8" s="219"/>
      <c r="K8" s="218" t="s">
        <v>198</v>
      </c>
      <c r="L8" s="219"/>
      <c r="M8" s="218" t="s">
        <v>199</v>
      </c>
      <c r="N8" s="219"/>
      <c r="O8" s="222" t="s">
        <v>200</v>
      </c>
      <c r="P8" s="222"/>
      <c r="Q8" s="25" t="s">
        <v>51</v>
      </c>
      <c r="R8" s="25" t="s">
        <v>51</v>
      </c>
      <c r="S8" s="2"/>
    </row>
    <row r="9" spans="1:19" x14ac:dyDescent="0.25">
      <c r="A9" s="220"/>
      <c r="B9" s="221"/>
      <c r="C9" s="221"/>
      <c r="D9" s="221"/>
      <c r="E9" s="221"/>
      <c r="F9" s="226"/>
      <c r="G9" s="220"/>
      <c r="H9" s="221"/>
      <c r="I9" s="220"/>
      <c r="J9" s="221"/>
      <c r="K9" s="220"/>
      <c r="L9" s="221"/>
      <c r="M9" s="220"/>
      <c r="N9" s="221"/>
      <c r="O9" s="223"/>
      <c r="P9" s="223"/>
      <c r="Q9" s="28" t="s">
        <v>194</v>
      </c>
      <c r="R9" s="26" t="s">
        <v>195</v>
      </c>
      <c r="S9" s="2"/>
    </row>
    <row r="10" spans="1:19" ht="15.75" thickBot="1" x14ac:dyDescent="0.3">
      <c r="A10" s="216">
        <v>1</v>
      </c>
      <c r="B10" s="217"/>
      <c r="C10" s="217"/>
      <c r="D10" s="217"/>
      <c r="E10" s="217"/>
      <c r="F10" s="224"/>
      <c r="G10" s="216">
        <v>2</v>
      </c>
      <c r="H10" s="217"/>
      <c r="I10" s="216">
        <v>3</v>
      </c>
      <c r="J10" s="217"/>
      <c r="K10" s="216">
        <v>4</v>
      </c>
      <c r="L10" s="217"/>
      <c r="M10" s="216">
        <v>5</v>
      </c>
      <c r="N10" s="217"/>
      <c r="O10" s="216">
        <v>6</v>
      </c>
      <c r="P10" s="217"/>
      <c r="Q10" s="27">
        <v>7</v>
      </c>
      <c r="R10" s="27">
        <v>8</v>
      </c>
      <c r="S10" s="2"/>
    </row>
    <row r="11" spans="1:19" x14ac:dyDescent="0.25">
      <c r="A11" s="9">
        <v>6</v>
      </c>
      <c r="B11" s="195" t="s">
        <v>52</v>
      </c>
      <c r="C11" s="195"/>
      <c r="D11" s="195"/>
      <c r="E11" s="195"/>
      <c r="F11" s="196"/>
      <c r="G11" s="200">
        <f>G12+G30+G36+G43</f>
        <v>6000534.2600000007</v>
      </c>
      <c r="H11" s="201"/>
      <c r="I11" s="200">
        <f>I12+I30+I36+I43</f>
        <v>796407.75897537987</v>
      </c>
      <c r="J11" s="201"/>
      <c r="K11" s="200">
        <f>K12+K30+K36+K43</f>
        <v>1530459.1</v>
      </c>
      <c r="L11" s="201"/>
      <c r="M11" s="200">
        <f>M12+M30+M36+M43</f>
        <v>1758504.19</v>
      </c>
      <c r="N11" s="201"/>
      <c r="O11" s="200">
        <f>O12+O30+O36+O43</f>
        <v>901892.78</v>
      </c>
      <c r="P11" s="201"/>
      <c r="Q11" s="66">
        <f>(O11/I11)*100</f>
        <v>113.24510212712293</v>
      </c>
      <c r="R11" s="66">
        <f>O11/M11*100</f>
        <v>51.287496790098643</v>
      </c>
      <c r="S11" s="2"/>
    </row>
    <row r="12" spans="1:19" ht="15" customHeight="1" x14ac:dyDescent="0.25">
      <c r="A12" s="10">
        <v>63</v>
      </c>
      <c r="B12" s="229" t="s">
        <v>28</v>
      </c>
      <c r="C12" s="229"/>
      <c r="D12" s="229"/>
      <c r="E12" s="229"/>
      <c r="F12" s="230"/>
      <c r="G12" s="171">
        <f>G14+G16+G22+G24</f>
        <v>5135418.45</v>
      </c>
      <c r="H12" s="172"/>
      <c r="I12" s="171">
        <f t="shared" ref="I12" si="0">I14+I16+I22+I24</f>
        <v>681587.15906828584</v>
      </c>
      <c r="J12" s="172"/>
      <c r="K12" s="171">
        <f t="shared" ref="K12" si="1">K14+K16+K22+K24</f>
        <v>1384033.4700000002</v>
      </c>
      <c r="L12" s="172"/>
      <c r="M12" s="171">
        <f>M14+M16+M22+M24</f>
        <v>1541433.88</v>
      </c>
      <c r="N12" s="172"/>
      <c r="O12" s="171">
        <f>O14+O16+O22+O24</f>
        <v>787174.97</v>
      </c>
      <c r="P12" s="172"/>
      <c r="Q12" s="199">
        <f>O12/I12*100</f>
        <v>115.49146129396719</v>
      </c>
      <c r="R12" s="199">
        <f>O12/M12*100</f>
        <v>51.067709112505042</v>
      </c>
      <c r="S12" s="2"/>
    </row>
    <row r="13" spans="1:19" ht="15" customHeight="1" x14ac:dyDescent="0.25">
      <c r="A13" s="11"/>
      <c r="B13" s="229"/>
      <c r="C13" s="229"/>
      <c r="D13" s="229"/>
      <c r="E13" s="229"/>
      <c r="F13" s="230"/>
      <c r="G13" s="173"/>
      <c r="H13" s="174"/>
      <c r="I13" s="173"/>
      <c r="J13" s="174"/>
      <c r="K13" s="173"/>
      <c r="L13" s="174"/>
      <c r="M13" s="173"/>
      <c r="N13" s="174"/>
      <c r="O13" s="173"/>
      <c r="P13" s="174"/>
      <c r="Q13" s="199"/>
      <c r="R13" s="199"/>
      <c r="S13" s="2"/>
    </row>
    <row r="14" spans="1:19" x14ac:dyDescent="0.25">
      <c r="A14" s="12">
        <v>634</v>
      </c>
      <c r="B14" s="4" t="s">
        <v>29</v>
      </c>
      <c r="C14" s="4"/>
      <c r="D14" s="4"/>
      <c r="E14" s="4"/>
      <c r="F14" s="13"/>
      <c r="G14" s="175">
        <f>G15</f>
        <v>0</v>
      </c>
      <c r="H14" s="176"/>
      <c r="I14" s="175">
        <f>I15</f>
        <v>0</v>
      </c>
      <c r="J14" s="176"/>
      <c r="K14" s="175">
        <f t="shared" ref="K14:M14" si="2">K15</f>
        <v>0</v>
      </c>
      <c r="L14" s="176"/>
      <c r="M14" s="175">
        <f t="shared" si="2"/>
        <v>0</v>
      </c>
      <c r="N14" s="176"/>
      <c r="O14" s="175">
        <f t="shared" ref="O14" si="3">O15</f>
        <v>0</v>
      </c>
      <c r="P14" s="176"/>
      <c r="Q14" s="67" t="e">
        <f>O14/I14</f>
        <v>#DIV/0!</v>
      </c>
      <c r="R14" s="67" t="e">
        <f>O14/M14*100</f>
        <v>#DIV/0!</v>
      </c>
      <c r="S14" s="2"/>
    </row>
    <row r="15" spans="1:19" x14ac:dyDescent="0.25">
      <c r="A15" s="14">
        <v>6341</v>
      </c>
      <c r="B15" s="7" t="s">
        <v>30</v>
      </c>
      <c r="C15" s="7"/>
      <c r="D15" s="7"/>
      <c r="E15" s="7"/>
      <c r="F15" s="15"/>
      <c r="G15" s="204"/>
      <c r="H15" s="205"/>
      <c r="I15" s="204">
        <f>G15/7.5345</f>
        <v>0</v>
      </c>
      <c r="J15" s="205"/>
      <c r="K15" s="204"/>
      <c r="L15" s="205"/>
      <c r="M15" s="204"/>
      <c r="N15" s="205"/>
      <c r="O15" s="204"/>
      <c r="P15" s="205"/>
      <c r="Q15" s="67" t="e">
        <f>O15/I15</f>
        <v>#DIV/0!</v>
      </c>
      <c r="R15" s="67" t="e">
        <f>O15/M15*100</f>
        <v>#DIV/0!</v>
      </c>
      <c r="S15" s="2"/>
    </row>
    <row r="16" spans="1:19" x14ac:dyDescent="0.25">
      <c r="A16" s="16">
        <v>636</v>
      </c>
      <c r="B16" s="231" t="s">
        <v>31</v>
      </c>
      <c r="C16" s="231"/>
      <c r="D16" s="231"/>
      <c r="E16" s="231"/>
      <c r="F16" s="232"/>
      <c r="G16" s="206">
        <f>G18+G20</f>
        <v>5129469.67</v>
      </c>
      <c r="H16" s="207"/>
      <c r="I16" s="206">
        <f t="shared" ref="I16" si="4">I18+I20</f>
        <v>680797.62028004508</v>
      </c>
      <c r="J16" s="207"/>
      <c r="K16" s="206">
        <f t="shared" ref="K16" si="5">K18+K20</f>
        <v>1384033.4700000002</v>
      </c>
      <c r="L16" s="207"/>
      <c r="M16" s="206">
        <f t="shared" ref="M16" si="6">M18+M20</f>
        <v>1537588.5999999999</v>
      </c>
      <c r="N16" s="207"/>
      <c r="O16" s="206">
        <f t="shared" ref="O16" si="7">O18+O20</f>
        <v>784732.71</v>
      </c>
      <c r="P16" s="207"/>
      <c r="Q16" s="160">
        <f>O16/I16*100</f>
        <v>115.2666646627233</v>
      </c>
      <c r="R16" s="160">
        <f>O16/M16*100</f>
        <v>51.036584818591926</v>
      </c>
      <c r="S16" s="2"/>
    </row>
    <row r="17" spans="1:21" x14ac:dyDescent="0.25">
      <c r="A17" s="11"/>
      <c r="B17" s="231"/>
      <c r="C17" s="231"/>
      <c r="D17" s="231"/>
      <c r="E17" s="231"/>
      <c r="F17" s="232"/>
      <c r="G17" s="208"/>
      <c r="H17" s="209"/>
      <c r="I17" s="208"/>
      <c r="J17" s="209"/>
      <c r="K17" s="208"/>
      <c r="L17" s="209"/>
      <c r="M17" s="208"/>
      <c r="N17" s="209"/>
      <c r="O17" s="208"/>
      <c r="P17" s="209"/>
      <c r="Q17" s="160"/>
      <c r="R17" s="160"/>
      <c r="S17" s="2"/>
    </row>
    <row r="18" spans="1:21" ht="15" customHeight="1" x14ac:dyDescent="0.25">
      <c r="A18" s="17">
        <v>6361</v>
      </c>
      <c r="B18" s="233" t="s">
        <v>32</v>
      </c>
      <c r="C18" s="233"/>
      <c r="D18" s="233"/>
      <c r="E18" s="233"/>
      <c r="F18" s="234"/>
      <c r="G18" s="167">
        <v>5129469.67</v>
      </c>
      <c r="H18" s="168"/>
      <c r="I18" s="167">
        <f>G18/7.5345</f>
        <v>680797.62028004508</v>
      </c>
      <c r="J18" s="168"/>
      <c r="K18" s="167">
        <f>1369832.12-2787.18+15926.74+132.73</f>
        <v>1383104.4100000001</v>
      </c>
      <c r="L18" s="168"/>
      <c r="M18" s="167">
        <f>1496700-1700+11147.39+25000+150+2864.01+1427.2</f>
        <v>1535588.5999999999</v>
      </c>
      <c r="N18" s="168"/>
      <c r="O18" s="167">
        <v>784732.71</v>
      </c>
      <c r="P18" s="168"/>
      <c r="Q18" s="160">
        <f>O18/I18*100</f>
        <v>115.2666646627233</v>
      </c>
      <c r="R18" s="160">
        <f t="shared" ref="R18" si="8">O18/M18*100</f>
        <v>51.103056508755017</v>
      </c>
      <c r="S18" s="2"/>
      <c r="T18" s="37"/>
    </row>
    <row r="19" spans="1:21" x14ac:dyDescent="0.25">
      <c r="A19" s="18"/>
      <c r="B19" s="235"/>
      <c r="C19" s="235"/>
      <c r="D19" s="235"/>
      <c r="E19" s="235"/>
      <c r="F19" s="236"/>
      <c r="G19" s="169"/>
      <c r="H19" s="170"/>
      <c r="I19" s="169"/>
      <c r="J19" s="170"/>
      <c r="K19" s="169"/>
      <c r="L19" s="170"/>
      <c r="M19" s="169"/>
      <c r="N19" s="170"/>
      <c r="O19" s="169"/>
      <c r="P19" s="170"/>
      <c r="Q19" s="160"/>
      <c r="R19" s="160"/>
      <c r="S19" s="2"/>
    </row>
    <row r="20" spans="1:21" ht="15" customHeight="1" x14ac:dyDescent="0.25">
      <c r="A20" s="17">
        <v>6362</v>
      </c>
      <c r="B20" s="233" t="s">
        <v>33</v>
      </c>
      <c r="C20" s="233"/>
      <c r="D20" s="233"/>
      <c r="E20" s="233"/>
      <c r="F20" s="234"/>
      <c r="G20" s="167"/>
      <c r="H20" s="168"/>
      <c r="I20" s="167">
        <f>G20/7.5345</f>
        <v>0</v>
      </c>
      <c r="J20" s="168"/>
      <c r="K20" s="167">
        <v>929.06</v>
      </c>
      <c r="L20" s="168"/>
      <c r="M20" s="167">
        <v>2000</v>
      </c>
      <c r="N20" s="168"/>
      <c r="O20" s="167"/>
      <c r="P20" s="168"/>
      <c r="Q20" s="160" t="e">
        <f t="shared" ref="Q20" si="9">O20/I20*100</f>
        <v>#DIV/0!</v>
      </c>
      <c r="R20" s="160">
        <f t="shared" ref="R20" si="10">O20/M20*100</f>
        <v>0</v>
      </c>
      <c r="S20" s="2"/>
    </row>
    <row r="21" spans="1:21" x14ac:dyDescent="0.25">
      <c r="A21" s="18"/>
      <c r="B21" s="235"/>
      <c r="C21" s="235"/>
      <c r="D21" s="235"/>
      <c r="E21" s="235"/>
      <c r="F21" s="236"/>
      <c r="G21" s="169"/>
      <c r="H21" s="170"/>
      <c r="I21" s="169"/>
      <c r="J21" s="170"/>
      <c r="K21" s="169"/>
      <c r="L21" s="170"/>
      <c r="M21" s="169"/>
      <c r="N21" s="170"/>
      <c r="O21" s="169"/>
      <c r="P21" s="170"/>
      <c r="Q21" s="160"/>
      <c r="R21" s="160"/>
      <c r="S21" s="2"/>
    </row>
    <row r="22" spans="1:21" x14ac:dyDescent="0.25">
      <c r="A22" s="12">
        <v>638</v>
      </c>
      <c r="B22" s="4" t="s">
        <v>44</v>
      </c>
      <c r="C22" s="4"/>
      <c r="D22" s="4"/>
      <c r="E22" s="4"/>
      <c r="F22" s="13"/>
      <c r="G22" s="175">
        <f>G23</f>
        <v>0</v>
      </c>
      <c r="H22" s="176"/>
      <c r="I22" s="175">
        <f>I23</f>
        <v>0</v>
      </c>
      <c r="J22" s="176"/>
      <c r="K22" s="175">
        <f t="shared" ref="K22:M22" si="11">K23</f>
        <v>0</v>
      </c>
      <c r="L22" s="176"/>
      <c r="M22" s="175">
        <f t="shared" si="11"/>
        <v>0</v>
      </c>
      <c r="N22" s="176"/>
      <c r="O22" s="175">
        <f t="shared" ref="O22" si="12">O23</f>
        <v>0</v>
      </c>
      <c r="P22" s="176"/>
      <c r="Q22" s="67" t="e">
        <f>O22/I22*100</f>
        <v>#DIV/0!</v>
      </c>
      <c r="R22" s="67" t="e">
        <f>O22/M22*100</f>
        <v>#DIV/0!</v>
      </c>
      <c r="S22" s="2"/>
    </row>
    <row r="23" spans="1:21" x14ac:dyDescent="0.25">
      <c r="A23" s="14">
        <v>6381</v>
      </c>
      <c r="B23" s="7" t="s">
        <v>44</v>
      </c>
      <c r="C23" s="7"/>
      <c r="D23" s="7"/>
      <c r="E23" s="7"/>
      <c r="F23" s="15"/>
      <c r="G23" s="204"/>
      <c r="H23" s="205"/>
      <c r="I23" s="204">
        <f>G23/7.5345</f>
        <v>0</v>
      </c>
      <c r="J23" s="205"/>
      <c r="K23" s="204"/>
      <c r="L23" s="205"/>
      <c r="M23" s="204"/>
      <c r="N23" s="205"/>
      <c r="O23" s="204"/>
      <c r="P23" s="205"/>
      <c r="Q23" s="67" t="e">
        <f>O23/I23*100</f>
        <v>#DIV/0!</v>
      </c>
      <c r="R23" s="67" t="e">
        <f>O23/M23*100</f>
        <v>#DIV/0!</v>
      </c>
      <c r="S23" s="2"/>
    </row>
    <row r="24" spans="1:21" x14ac:dyDescent="0.25">
      <c r="A24" s="16">
        <v>639</v>
      </c>
      <c r="B24" s="237" t="s">
        <v>173</v>
      </c>
      <c r="C24" s="237"/>
      <c r="D24" s="237"/>
      <c r="E24" s="237"/>
      <c r="F24" s="238"/>
      <c r="G24" s="206">
        <f>G26+G28</f>
        <v>5948.78</v>
      </c>
      <c r="H24" s="207"/>
      <c r="I24" s="206">
        <f t="shared" ref="I24" si="13">I26+I28</f>
        <v>789.53878824075912</v>
      </c>
      <c r="J24" s="207"/>
      <c r="K24" s="206">
        <f t="shared" ref="K24" si="14">K26+K28</f>
        <v>0</v>
      </c>
      <c r="L24" s="207"/>
      <c r="M24" s="206">
        <f t="shared" ref="M24" si="15">M26+M28</f>
        <v>3845.28</v>
      </c>
      <c r="N24" s="207"/>
      <c r="O24" s="206">
        <f t="shared" ref="O24" si="16">O26+O28</f>
        <v>2442.2600000000002</v>
      </c>
      <c r="P24" s="207"/>
      <c r="Q24" s="160">
        <f>O24/I24*100</f>
        <v>309.32742461479501</v>
      </c>
      <c r="R24" s="161">
        <f>O24/M24*100</f>
        <v>63.513190196812715</v>
      </c>
      <c r="S24" s="2"/>
    </row>
    <row r="25" spans="1:21" x14ac:dyDescent="0.25">
      <c r="A25" s="11"/>
      <c r="B25" s="239"/>
      <c r="C25" s="239"/>
      <c r="D25" s="239"/>
      <c r="E25" s="239"/>
      <c r="F25" s="240"/>
      <c r="G25" s="208"/>
      <c r="H25" s="209"/>
      <c r="I25" s="208"/>
      <c r="J25" s="209"/>
      <c r="K25" s="208"/>
      <c r="L25" s="209"/>
      <c r="M25" s="208"/>
      <c r="N25" s="209"/>
      <c r="O25" s="208"/>
      <c r="P25" s="209"/>
      <c r="Q25" s="160"/>
      <c r="R25" s="162"/>
      <c r="S25" s="2"/>
    </row>
    <row r="26" spans="1:21" x14ac:dyDescent="0.25">
      <c r="A26" s="17">
        <v>6391</v>
      </c>
      <c r="B26" s="163" t="s">
        <v>176</v>
      </c>
      <c r="C26" s="163"/>
      <c r="D26" s="163"/>
      <c r="E26" s="163"/>
      <c r="F26" s="164"/>
      <c r="G26" s="167">
        <v>3043.56</v>
      </c>
      <c r="H26" s="168"/>
      <c r="I26" s="167">
        <f>G26/7.5345</f>
        <v>403.94983077841925</v>
      </c>
      <c r="J26" s="168"/>
      <c r="K26" s="167"/>
      <c r="L26" s="168"/>
      <c r="M26" s="167">
        <f>1204.3+198.72</f>
        <v>1403.02</v>
      </c>
      <c r="N26" s="168"/>
      <c r="O26" s="167"/>
      <c r="P26" s="168"/>
      <c r="Q26" s="160">
        <f>O26/I26*100</f>
        <v>0</v>
      </c>
      <c r="R26" s="161">
        <f>O26/M26*100</f>
        <v>0</v>
      </c>
      <c r="S26" s="2"/>
      <c r="U26" s="37"/>
    </row>
    <row r="27" spans="1:21" x14ac:dyDescent="0.25">
      <c r="A27" s="11"/>
      <c r="B27" s="165"/>
      <c r="C27" s="165"/>
      <c r="D27" s="165"/>
      <c r="E27" s="165"/>
      <c r="F27" s="166"/>
      <c r="G27" s="169"/>
      <c r="H27" s="170"/>
      <c r="I27" s="169"/>
      <c r="J27" s="170"/>
      <c r="K27" s="169"/>
      <c r="L27" s="170"/>
      <c r="M27" s="169"/>
      <c r="N27" s="170"/>
      <c r="O27" s="169"/>
      <c r="P27" s="170"/>
      <c r="Q27" s="160"/>
      <c r="R27" s="162"/>
      <c r="S27" s="2"/>
    </row>
    <row r="28" spans="1:21" x14ac:dyDescent="0.25">
      <c r="A28" s="17">
        <v>6393</v>
      </c>
      <c r="B28" s="163" t="s">
        <v>174</v>
      </c>
      <c r="C28" s="163"/>
      <c r="D28" s="163"/>
      <c r="E28" s="163"/>
      <c r="F28" s="164"/>
      <c r="G28" s="167">
        <v>2905.22</v>
      </c>
      <c r="H28" s="168"/>
      <c r="I28" s="167">
        <f>G28/7.5345</f>
        <v>385.58895746233986</v>
      </c>
      <c r="J28" s="168"/>
      <c r="K28" s="167"/>
      <c r="L28" s="168"/>
      <c r="M28" s="167">
        <v>2442.2600000000002</v>
      </c>
      <c r="N28" s="168"/>
      <c r="O28" s="167">
        <v>2442.2600000000002</v>
      </c>
      <c r="P28" s="168"/>
      <c r="Q28" s="160">
        <f>O28/I28*100</f>
        <v>633.38432098085525</v>
      </c>
      <c r="R28" s="161">
        <f>O28/M28*100</f>
        <v>100</v>
      </c>
      <c r="S28" s="2"/>
    </row>
    <row r="29" spans="1:21" x14ac:dyDescent="0.25">
      <c r="A29" s="18"/>
      <c r="B29" s="165"/>
      <c r="C29" s="165"/>
      <c r="D29" s="165"/>
      <c r="E29" s="165"/>
      <c r="F29" s="166"/>
      <c r="G29" s="169"/>
      <c r="H29" s="170"/>
      <c r="I29" s="169"/>
      <c r="J29" s="170"/>
      <c r="K29" s="169"/>
      <c r="L29" s="170"/>
      <c r="M29" s="169"/>
      <c r="N29" s="170"/>
      <c r="O29" s="169"/>
      <c r="P29" s="170"/>
      <c r="Q29" s="160"/>
      <c r="R29" s="162"/>
      <c r="S29" s="2"/>
    </row>
    <row r="30" spans="1:21" x14ac:dyDescent="0.25">
      <c r="A30" s="10">
        <v>65</v>
      </c>
      <c r="B30" s="229" t="s">
        <v>34</v>
      </c>
      <c r="C30" s="229"/>
      <c r="D30" s="229"/>
      <c r="E30" s="229"/>
      <c r="F30" s="230"/>
      <c r="G30" s="171">
        <f>G32</f>
        <v>12144.9</v>
      </c>
      <c r="H30" s="172"/>
      <c r="I30" s="171">
        <f>I32</f>
        <v>1611.9052359147918</v>
      </c>
      <c r="J30" s="172"/>
      <c r="K30" s="171">
        <f t="shared" ref="K30" si="17">K32</f>
        <v>3848.97</v>
      </c>
      <c r="L30" s="172"/>
      <c r="M30" s="171">
        <f>M32</f>
        <v>2300</v>
      </c>
      <c r="N30" s="172"/>
      <c r="O30" s="171">
        <f t="shared" ref="O30" si="18">O32</f>
        <v>1398.4</v>
      </c>
      <c r="P30" s="172"/>
      <c r="Q30" s="199">
        <f>O30/I30*100</f>
        <v>86.754479658128119</v>
      </c>
      <c r="R30" s="199">
        <f>O30/M30*100</f>
        <v>60.8</v>
      </c>
      <c r="S30" s="2"/>
    </row>
    <row r="31" spans="1:21" x14ac:dyDescent="0.25">
      <c r="A31" s="11"/>
      <c r="B31" s="229"/>
      <c r="C31" s="229"/>
      <c r="D31" s="229"/>
      <c r="E31" s="229"/>
      <c r="F31" s="230"/>
      <c r="G31" s="173"/>
      <c r="H31" s="174"/>
      <c r="I31" s="173"/>
      <c r="J31" s="174"/>
      <c r="K31" s="173"/>
      <c r="L31" s="174"/>
      <c r="M31" s="173"/>
      <c r="N31" s="174"/>
      <c r="O31" s="173"/>
      <c r="P31" s="174"/>
      <c r="Q31" s="199"/>
      <c r="R31" s="199"/>
      <c r="S31" s="2"/>
    </row>
    <row r="32" spans="1:21" x14ac:dyDescent="0.25">
      <c r="A32" s="12">
        <v>652</v>
      </c>
      <c r="B32" s="4" t="s">
        <v>35</v>
      </c>
      <c r="C32" s="4"/>
      <c r="D32" s="4"/>
      <c r="E32" s="4"/>
      <c r="F32" s="13"/>
      <c r="G32" s="175">
        <f>G33+G34</f>
        <v>12144.9</v>
      </c>
      <c r="H32" s="176"/>
      <c r="I32" s="175">
        <f>I33+I34</f>
        <v>1611.9052359147918</v>
      </c>
      <c r="J32" s="176"/>
      <c r="K32" s="175">
        <f t="shared" ref="K32:M32" si="19">K33+K34</f>
        <v>3848.97</v>
      </c>
      <c r="L32" s="176"/>
      <c r="M32" s="175">
        <f t="shared" si="19"/>
        <v>2300</v>
      </c>
      <c r="N32" s="176"/>
      <c r="O32" s="175">
        <f t="shared" ref="O32" si="20">O33+O34</f>
        <v>1398.4</v>
      </c>
      <c r="P32" s="176"/>
      <c r="Q32" s="67">
        <f>O32/I32*100</f>
        <v>86.754479658128119</v>
      </c>
      <c r="R32" s="67">
        <f>O32/M32*100</f>
        <v>60.8</v>
      </c>
      <c r="S32" s="2"/>
      <c r="U32" s="37"/>
    </row>
    <row r="33" spans="1:21" x14ac:dyDescent="0.25">
      <c r="A33" s="14">
        <v>6526</v>
      </c>
      <c r="B33" s="7" t="s">
        <v>36</v>
      </c>
      <c r="C33" s="7"/>
      <c r="D33" s="7"/>
      <c r="E33" s="7"/>
      <c r="F33" s="15"/>
      <c r="G33" s="204">
        <v>5670</v>
      </c>
      <c r="H33" s="205"/>
      <c r="I33" s="204">
        <f>G33/7.5345</f>
        <v>752.53832371092972</v>
      </c>
      <c r="J33" s="205"/>
      <c r="K33" s="204">
        <f>1061.79</f>
        <v>1061.79</v>
      </c>
      <c r="L33" s="205"/>
      <c r="M33" s="204">
        <v>600</v>
      </c>
      <c r="N33" s="205"/>
      <c r="O33" s="204">
        <v>573.97</v>
      </c>
      <c r="P33" s="205"/>
      <c r="Q33" s="67">
        <f>O33/I33*100</f>
        <v>76.271198677248691</v>
      </c>
      <c r="R33" s="67">
        <f>O33/M33*100</f>
        <v>95.661666666666662</v>
      </c>
      <c r="S33" s="2"/>
    </row>
    <row r="34" spans="1:21" x14ac:dyDescent="0.25">
      <c r="A34" s="17">
        <v>6528</v>
      </c>
      <c r="B34" s="163" t="s">
        <v>175</v>
      </c>
      <c r="C34" s="163"/>
      <c r="D34" s="163"/>
      <c r="E34" s="163"/>
      <c r="F34" s="164"/>
      <c r="G34" s="167">
        <v>6474.9</v>
      </c>
      <c r="H34" s="168"/>
      <c r="I34" s="167">
        <f>G34/7.5345</f>
        <v>859.36691220386217</v>
      </c>
      <c r="J34" s="168"/>
      <c r="K34" s="167">
        <v>2787.18</v>
      </c>
      <c r="L34" s="168"/>
      <c r="M34" s="167">
        <v>1700</v>
      </c>
      <c r="N34" s="168"/>
      <c r="O34" s="167">
        <v>824.43</v>
      </c>
      <c r="P34" s="168"/>
      <c r="Q34" s="177">
        <f>O34/I34*100</f>
        <v>95.934575591901037</v>
      </c>
      <c r="R34" s="177">
        <f>O34/M34*100</f>
        <v>48.495882352941173</v>
      </c>
      <c r="S34" s="2"/>
    </row>
    <row r="35" spans="1:21" x14ac:dyDescent="0.25">
      <c r="A35" s="18"/>
      <c r="B35" s="165"/>
      <c r="C35" s="165"/>
      <c r="D35" s="165"/>
      <c r="E35" s="165"/>
      <c r="F35" s="166"/>
      <c r="G35" s="169"/>
      <c r="H35" s="170"/>
      <c r="I35" s="169"/>
      <c r="J35" s="170"/>
      <c r="K35" s="169"/>
      <c r="L35" s="170"/>
      <c r="M35" s="169"/>
      <c r="N35" s="170"/>
      <c r="O35" s="169"/>
      <c r="P35" s="170"/>
      <c r="Q35" s="178"/>
      <c r="R35" s="178"/>
      <c r="S35" s="2"/>
    </row>
    <row r="36" spans="1:21" x14ac:dyDescent="0.25">
      <c r="A36" s="10">
        <v>66</v>
      </c>
      <c r="B36" s="229" t="s">
        <v>45</v>
      </c>
      <c r="C36" s="229"/>
      <c r="D36" s="229"/>
      <c r="E36" s="229"/>
      <c r="F36" s="230"/>
      <c r="G36" s="171">
        <f>G38+G40</f>
        <v>91382.8</v>
      </c>
      <c r="H36" s="172"/>
      <c r="I36" s="171">
        <f>I38+I40</f>
        <v>12128.581856792091</v>
      </c>
      <c r="J36" s="172"/>
      <c r="K36" s="171">
        <f t="shared" ref="K36:M36" si="21">K38+K40</f>
        <v>1592.68</v>
      </c>
      <c r="L36" s="172"/>
      <c r="M36" s="171">
        <f t="shared" si="21"/>
        <v>7000</v>
      </c>
      <c r="N36" s="172"/>
      <c r="O36" s="171">
        <f t="shared" ref="O36" si="22">O38+O40</f>
        <v>9134.35</v>
      </c>
      <c r="P36" s="172"/>
      <c r="Q36" s="199">
        <f>O36/I36*100</f>
        <v>75.312597201005005</v>
      </c>
      <c r="R36" s="199">
        <f>O36/M36*100</f>
        <v>130.49071428571429</v>
      </c>
      <c r="S36" s="2"/>
      <c r="U36" s="37"/>
    </row>
    <row r="37" spans="1:21" x14ac:dyDescent="0.25">
      <c r="A37" s="11"/>
      <c r="B37" s="229"/>
      <c r="C37" s="229"/>
      <c r="D37" s="229"/>
      <c r="E37" s="229"/>
      <c r="F37" s="230"/>
      <c r="G37" s="173"/>
      <c r="H37" s="174"/>
      <c r="I37" s="173"/>
      <c r="J37" s="174"/>
      <c r="K37" s="173"/>
      <c r="L37" s="174"/>
      <c r="M37" s="173"/>
      <c r="N37" s="174"/>
      <c r="O37" s="173"/>
      <c r="P37" s="174"/>
      <c r="Q37" s="199"/>
      <c r="R37" s="199"/>
      <c r="S37" s="2"/>
    </row>
    <row r="38" spans="1:21" x14ac:dyDescent="0.25">
      <c r="A38" s="12">
        <v>661</v>
      </c>
      <c r="B38" s="4" t="s">
        <v>37</v>
      </c>
      <c r="C38" s="4"/>
      <c r="D38" s="4"/>
      <c r="E38" s="4"/>
      <c r="F38" s="13"/>
      <c r="G38" s="175">
        <f>G39</f>
        <v>18090</v>
      </c>
      <c r="H38" s="176"/>
      <c r="I38" s="175">
        <f>I39</f>
        <v>2400.955604220585</v>
      </c>
      <c r="J38" s="176"/>
      <c r="K38" s="175">
        <f t="shared" ref="K38:M38" si="23">K39</f>
        <v>1592.68</v>
      </c>
      <c r="L38" s="176"/>
      <c r="M38" s="175">
        <f t="shared" si="23"/>
        <v>3000</v>
      </c>
      <c r="N38" s="176"/>
      <c r="O38" s="175">
        <f t="shared" ref="O38" si="24">O39</f>
        <v>3478.09</v>
      </c>
      <c r="P38" s="176"/>
      <c r="Q38" s="67">
        <f>O38/I38*100</f>
        <v>144.86273689883916</v>
      </c>
      <c r="R38" s="67">
        <f>O38/M38*100</f>
        <v>115.93633333333332</v>
      </c>
      <c r="S38" s="2"/>
      <c r="U38" s="37"/>
    </row>
    <row r="39" spans="1:21" x14ac:dyDescent="0.25">
      <c r="A39" s="14">
        <v>6615</v>
      </c>
      <c r="B39" s="7" t="s">
        <v>38</v>
      </c>
      <c r="C39" s="7"/>
      <c r="D39" s="7"/>
      <c r="E39" s="7"/>
      <c r="F39" s="15"/>
      <c r="G39" s="204">
        <v>18090</v>
      </c>
      <c r="H39" s="205"/>
      <c r="I39" s="204">
        <f>G39/7.5345</f>
        <v>2400.955604220585</v>
      </c>
      <c r="J39" s="205"/>
      <c r="K39" s="204">
        <f>796.34+796.34</f>
        <v>1592.68</v>
      </c>
      <c r="L39" s="205"/>
      <c r="M39" s="204">
        <v>3000</v>
      </c>
      <c r="N39" s="205"/>
      <c r="O39" s="204">
        <v>3478.09</v>
      </c>
      <c r="P39" s="205"/>
      <c r="Q39" s="67">
        <f>O39/I39*100</f>
        <v>144.86273689883916</v>
      </c>
      <c r="R39" s="67">
        <f>O39/M39*100</f>
        <v>115.93633333333332</v>
      </c>
      <c r="S39" s="2"/>
    </row>
    <row r="40" spans="1:21" x14ac:dyDescent="0.25">
      <c r="A40" s="16">
        <v>663</v>
      </c>
      <c r="B40" s="231" t="s">
        <v>46</v>
      </c>
      <c r="C40" s="231"/>
      <c r="D40" s="231"/>
      <c r="E40" s="231"/>
      <c r="F40" s="232"/>
      <c r="G40" s="206">
        <f>G42</f>
        <v>73292.800000000003</v>
      </c>
      <c r="H40" s="207"/>
      <c r="I40" s="206">
        <f>I42</f>
        <v>9727.6262525715047</v>
      </c>
      <c r="J40" s="207"/>
      <c r="K40" s="206">
        <f t="shared" ref="K40:M40" si="25">K42</f>
        <v>0</v>
      </c>
      <c r="L40" s="207"/>
      <c r="M40" s="206">
        <f t="shared" si="25"/>
        <v>4000</v>
      </c>
      <c r="N40" s="207"/>
      <c r="O40" s="206">
        <f t="shared" ref="O40" si="26">O42</f>
        <v>5656.26</v>
      </c>
      <c r="P40" s="207"/>
      <c r="Q40" s="203">
        <f>O40/I40*100</f>
        <v>58.146354034775584</v>
      </c>
      <c r="R40" s="203">
        <f>O40/M40*100</f>
        <v>141.40650000000002</v>
      </c>
      <c r="S40" s="2"/>
    </row>
    <row r="41" spans="1:21" x14ac:dyDescent="0.25">
      <c r="A41" s="11"/>
      <c r="B41" s="231"/>
      <c r="C41" s="231"/>
      <c r="D41" s="231"/>
      <c r="E41" s="231"/>
      <c r="F41" s="232"/>
      <c r="G41" s="208"/>
      <c r="H41" s="209"/>
      <c r="I41" s="208"/>
      <c r="J41" s="209"/>
      <c r="K41" s="208"/>
      <c r="L41" s="209"/>
      <c r="M41" s="208"/>
      <c r="N41" s="209"/>
      <c r="O41" s="208"/>
      <c r="P41" s="209"/>
      <c r="Q41" s="203"/>
      <c r="R41" s="203"/>
      <c r="S41" s="2"/>
    </row>
    <row r="42" spans="1:21" x14ac:dyDescent="0.25">
      <c r="A42" s="14">
        <v>6631</v>
      </c>
      <c r="B42" s="7" t="s">
        <v>39</v>
      </c>
      <c r="C42" s="7"/>
      <c r="D42" s="7"/>
      <c r="E42" s="7"/>
      <c r="F42" s="15"/>
      <c r="G42" s="204">
        <v>73292.800000000003</v>
      </c>
      <c r="H42" s="205"/>
      <c r="I42" s="204">
        <f>G42/7.5345</f>
        <v>9727.6262525715047</v>
      </c>
      <c r="J42" s="205"/>
      <c r="K42" s="204"/>
      <c r="L42" s="205"/>
      <c r="M42" s="204">
        <v>4000</v>
      </c>
      <c r="N42" s="205"/>
      <c r="O42" s="204">
        <v>5656.26</v>
      </c>
      <c r="P42" s="205"/>
      <c r="Q42" s="67">
        <f>O42/I42*100</f>
        <v>58.146354034775584</v>
      </c>
      <c r="R42" s="67">
        <f>O42/M42*100</f>
        <v>141.40650000000002</v>
      </c>
      <c r="S42" s="2"/>
      <c r="U42" s="37"/>
    </row>
    <row r="43" spans="1:21" x14ac:dyDescent="0.25">
      <c r="A43" s="10">
        <v>67</v>
      </c>
      <c r="B43" s="229" t="s">
        <v>40</v>
      </c>
      <c r="C43" s="229"/>
      <c r="D43" s="229"/>
      <c r="E43" s="229"/>
      <c r="F43" s="230"/>
      <c r="G43" s="171">
        <f>G45</f>
        <v>761588.11</v>
      </c>
      <c r="H43" s="172"/>
      <c r="I43" s="171">
        <f>I45</f>
        <v>101080.11281438716</v>
      </c>
      <c r="J43" s="172"/>
      <c r="K43" s="171">
        <f t="shared" ref="K43:M43" si="27">K45</f>
        <v>140983.98000000001</v>
      </c>
      <c r="L43" s="172"/>
      <c r="M43" s="171">
        <f t="shared" si="27"/>
        <v>207770.31</v>
      </c>
      <c r="N43" s="172"/>
      <c r="O43" s="171">
        <f t="shared" ref="O43" si="28">O45</f>
        <v>104185.06</v>
      </c>
      <c r="P43" s="172"/>
      <c r="Q43" s="199">
        <f>O43/I43*100</f>
        <v>103.0717686191293</v>
      </c>
      <c r="R43" s="199">
        <f>O43/M43*100</f>
        <v>50.144344492723725</v>
      </c>
      <c r="S43" s="2"/>
    </row>
    <row r="44" spans="1:21" x14ac:dyDescent="0.25">
      <c r="A44" s="11"/>
      <c r="B44" s="229"/>
      <c r="C44" s="229"/>
      <c r="D44" s="229"/>
      <c r="E44" s="229"/>
      <c r="F44" s="230"/>
      <c r="G44" s="173"/>
      <c r="H44" s="174"/>
      <c r="I44" s="173"/>
      <c r="J44" s="174"/>
      <c r="K44" s="173"/>
      <c r="L44" s="174"/>
      <c r="M44" s="173"/>
      <c r="N44" s="174"/>
      <c r="O44" s="173"/>
      <c r="P44" s="174"/>
      <c r="Q44" s="199"/>
      <c r="R44" s="199"/>
      <c r="S44" s="2"/>
      <c r="U44" s="37"/>
    </row>
    <row r="45" spans="1:21" ht="15" customHeight="1" x14ac:dyDescent="0.25">
      <c r="A45" s="16">
        <v>671</v>
      </c>
      <c r="B45" s="231" t="s">
        <v>41</v>
      </c>
      <c r="C45" s="231"/>
      <c r="D45" s="231"/>
      <c r="E45" s="231"/>
      <c r="F45" s="232"/>
      <c r="G45" s="206">
        <f>G47+G49</f>
        <v>761588.11</v>
      </c>
      <c r="H45" s="207"/>
      <c r="I45" s="206">
        <f>I47+I49</f>
        <v>101080.11281438716</v>
      </c>
      <c r="J45" s="207"/>
      <c r="K45" s="206">
        <f t="shared" ref="K45:M45" si="29">K47+K49</f>
        <v>140983.98000000001</v>
      </c>
      <c r="L45" s="207"/>
      <c r="M45" s="206">
        <f t="shared" si="29"/>
        <v>207770.31</v>
      </c>
      <c r="N45" s="207"/>
      <c r="O45" s="206">
        <f t="shared" ref="O45" si="30">O47+O49</f>
        <v>104185.06</v>
      </c>
      <c r="P45" s="207"/>
      <c r="Q45" s="160">
        <f t="shared" ref="Q45" si="31">O45/I45*100</f>
        <v>103.0717686191293</v>
      </c>
      <c r="R45" s="160">
        <f t="shared" ref="R45" si="32">O45/M45*100</f>
        <v>50.144344492723725</v>
      </c>
      <c r="S45" s="2"/>
    </row>
    <row r="46" spans="1:21" x14ac:dyDescent="0.25">
      <c r="A46" s="11"/>
      <c r="B46" s="231"/>
      <c r="C46" s="231"/>
      <c r="D46" s="231"/>
      <c r="E46" s="231"/>
      <c r="F46" s="232"/>
      <c r="G46" s="208"/>
      <c r="H46" s="209"/>
      <c r="I46" s="208"/>
      <c r="J46" s="209"/>
      <c r="K46" s="208"/>
      <c r="L46" s="209"/>
      <c r="M46" s="208"/>
      <c r="N46" s="209"/>
      <c r="O46" s="208"/>
      <c r="P46" s="209"/>
      <c r="Q46" s="160"/>
      <c r="R46" s="160"/>
      <c r="S46" s="2"/>
      <c r="U46" s="37"/>
    </row>
    <row r="47" spans="1:21" x14ac:dyDescent="0.25">
      <c r="A47" s="17">
        <v>6711</v>
      </c>
      <c r="B47" s="227" t="s">
        <v>42</v>
      </c>
      <c r="C47" s="227"/>
      <c r="D47" s="227"/>
      <c r="E47" s="227"/>
      <c r="F47" s="228"/>
      <c r="G47" s="167">
        <f>700949.88</f>
        <v>700949.88</v>
      </c>
      <c r="H47" s="168"/>
      <c r="I47" s="167">
        <f>G47/7.5345</f>
        <v>93032.036631495124</v>
      </c>
      <c r="J47" s="168"/>
      <c r="K47" s="167">
        <v>140983.98000000001</v>
      </c>
      <c r="L47" s="168"/>
      <c r="M47" s="167">
        <f>190788.68+5620.12+11361.51</f>
        <v>207770.31</v>
      </c>
      <c r="N47" s="168"/>
      <c r="O47" s="167">
        <v>104185.06</v>
      </c>
      <c r="P47" s="168"/>
      <c r="Q47" s="160">
        <f t="shared" ref="Q47" si="33">O47/I47*100</f>
        <v>111.98836849362182</v>
      </c>
      <c r="R47" s="160">
        <f t="shared" ref="R47" si="34">O47/M47*100</f>
        <v>50.144344492723725</v>
      </c>
      <c r="S47" s="2"/>
    </row>
    <row r="48" spans="1:21" x14ac:dyDescent="0.25">
      <c r="A48" s="18"/>
      <c r="B48" s="227"/>
      <c r="C48" s="227"/>
      <c r="D48" s="227"/>
      <c r="E48" s="227"/>
      <c r="F48" s="228"/>
      <c r="G48" s="169"/>
      <c r="H48" s="170"/>
      <c r="I48" s="169"/>
      <c r="J48" s="170"/>
      <c r="K48" s="169"/>
      <c r="L48" s="170"/>
      <c r="M48" s="169"/>
      <c r="N48" s="170"/>
      <c r="O48" s="169"/>
      <c r="P48" s="170"/>
      <c r="Q48" s="160"/>
      <c r="R48" s="160"/>
      <c r="S48" s="2"/>
      <c r="U48" s="37"/>
    </row>
    <row r="49" spans="1:19" x14ac:dyDescent="0.25">
      <c r="A49" s="17">
        <v>6712</v>
      </c>
      <c r="B49" s="227" t="s">
        <v>47</v>
      </c>
      <c r="C49" s="227"/>
      <c r="D49" s="227"/>
      <c r="E49" s="227"/>
      <c r="F49" s="228"/>
      <c r="G49" s="167">
        <v>60638.23</v>
      </c>
      <c r="H49" s="168"/>
      <c r="I49" s="167">
        <f>G49/7.5345</f>
        <v>8048.0761828920304</v>
      </c>
      <c r="J49" s="168"/>
      <c r="K49" s="167"/>
      <c r="L49" s="168"/>
      <c r="M49" s="167"/>
      <c r="N49" s="168"/>
      <c r="O49" s="167"/>
      <c r="P49" s="168"/>
      <c r="Q49" s="160">
        <f t="shared" ref="Q49" si="35">O49/I49*100</f>
        <v>0</v>
      </c>
      <c r="R49" s="160" t="e">
        <f t="shared" ref="R49" si="36">O49/M49*100</f>
        <v>#DIV/0!</v>
      </c>
      <c r="S49" s="2"/>
    </row>
    <row r="50" spans="1:19" x14ac:dyDescent="0.25">
      <c r="A50" s="18"/>
      <c r="B50" s="227"/>
      <c r="C50" s="227"/>
      <c r="D50" s="227"/>
      <c r="E50" s="227"/>
      <c r="F50" s="228"/>
      <c r="G50" s="169"/>
      <c r="H50" s="170"/>
      <c r="I50" s="169"/>
      <c r="J50" s="170"/>
      <c r="K50" s="169"/>
      <c r="L50" s="170"/>
      <c r="M50" s="169"/>
      <c r="N50" s="170"/>
      <c r="O50" s="169"/>
      <c r="P50" s="170"/>
      <c r="Q50" s="160"/>
      <c r="R50" s="160"/>
      <c r="S50" s="2"/>
    </row>
    <row r="51" spans="1:19" x14ac:dyDescent="0.25">
      <c r="A51" s="19">
        <v>9</v>
      </c>
      <c r="B51" s="6" t="s">
        <v>43</v>
      </c>
      <c r="C51" s="6"/>
      <c r="D51" s="6"/>
      <c r="E51" s="6"/>
      <c r="F51" s="20"/>
      <c r="G51" s="212">
        <f>G52</f>
        <v>103547.03</v>
      </c>
      <c r="H51" s="213"/>
      <c r="I51" s="212">
        <f>I52</f>
        <v>13743.052624593536</v>
      </c>
      <c r="J51" s="213"/>
      <c r="K51" s="212">
        <f t="shared" ref="K51:M51" si="37">K52</f>
        <v>21871.43</v>
      </c>
      <c r="L51" s="213"/>
      <c r="M51" s="212">
        <f t="shared" si="37"/>
        <v>30664.7</v>
      </c>
      <c r="N51" s="213"/>
      <c r="O51" s="212">
        <f t="shared" ref="O51" si="38">O52</f>
        <v>29933.95</v>
      </c>
      <c r="P51" s="213"/>
      <c r="Q51" s="59">
        <f>O51/I51*100</f>
        <v>217.81150678585374</v>
      </c>
      <c r="R51" s="59">
        <f>O51/M51*100</f>
        <v>97.616966740258334</v>
      </c>
      <c r="S51" s="2"/>
    </row>
    <row r="52" spans="1:19" x14ac:dyDescent="0.25">
      <c r="A52" s="21">
        <v>92</v>
      </c>
      <c r="B52" s="5" t="s">
        <v>48</v>
      </c>
      <c r="C52" s="5"/>
      <c r="D52" s="5"/>
      <c r="E52" s="5"/>
      <c r="F52" s="22"/>
      <c r="G52" s="214">
        <f>G53</f>
        <v>103547.03</v>
      </c>
      <c r="H52" s="215"/>
      <c r="I52" s="214">
        <f>I53</f>
        <v>13743.052624593536</v>
      </c>
      <c r="J52" s="215"/>
      <c r="K52" s="214">
        <f>K53</f>
        <v>21871.43</v>
      </c>
      <c r="L52" s="215"/>
      <c r="M52" s="214">
        <f>M53</f>
        <v>30664.7</v>
      </c>
      <c r="N52" s="215"/>
      <c r="O52" s="214">
        <f>O53</f>
        <v>29933.95</v>
      </c>
      <c r="P52" s="215"/>
      <c r="Q52" s="70">
        <f>O52/I52*100</f>
        <v>217.81150678585374</v>
      </c>
      <c r="R52" s="70">
        <f>O52/M52*100</f>
        <v>97.616966740258334</v>
      </c>
      <c r="S52" s="2"/>
    </row>
    <row r="53" spans="1:19" x14ac:dyDescent="0.25">
      <c r="A53" s="12">
        <v>922</v>
      </c>
      <c r="B53" s="4" t="s">
        <v>50</v>
      </c>
      <c r="C53" s="4"/>
      <c r="D53" s="4"/>
      <c r="E53" s="4"/>
      <c r="F53" s="13"/>
      <c r="G53" s="175">
        <f>G54</f>
        <v>103547.03</v>
      </c>
      <c r="H53" s="176"/>
      <c r="I53" s="175">
        <f>I54</f>
        <v>13743.052624593536</v>
      </c>
      <c r="J53" s="176"/>
      <c r="K53" s="175">
        <f>K54</f>
        <v>21871.43</v>
      </c>
      <c r="L53" s="176"/>
      <c r="M53" s="175">
        <f>M54</f>
        <v>30664.7</v>
      </c>
      <c r="N53" s="176"/>
      <c r="O53" s="175">
        <f>O54</f>
        <v>29933.95</v>
      </c>
      <c r="P53" s="176"/>
      <c r="Q53" s="67">
        <f t="shared" ref="Q53:Q54" si="39">O53/I53*100</f>
        <v>217.81150678585374</v>
      </c>
      <c r="R53" s="67">
        <f t="shared" ref="R53:R54" si="40">O53/M53*100</f>
        <v>97.616966740258334</v>
      </c>
      <c r="S53" s="2"/>
    </row>
    <row r="54" spans="1:19" ht="15.75" thickBot="1" x14ac:dyDescent="0.3">
      <c r="A54" s="17">
        <v>9221</v>
      </c>
      <c r="B54" s="8" t="s">
        <v>49</v>
      </c>
      <c r="C54" s="23"/>
      <c r="D54" s="23"/>
      <c r="E54" s="23"/>
      <c r="F54" s="24"/>
      <c r="G54" s="90">
        <v>103547.03</v>
      </c>
      <c r="H54" s="91"/>
      <c r="I54" s="167">
        <f>G54/7.5345</f>
        <v>13743.052624593536</v>
      </c>
      <c r="J54" s="168"/>
      <c r="K54" s="167">
        <v>21871.43</v>
      </c>
      <c r="L54" s="168"/>
      <c r="M54" s="167">
        <v>30664.7</v>
      </c>
      <c r="N54" s="168"/>
      <c r="O54" s="210">
        <v>29933.95</v>
      </c>
      <c r="P54" s="211"/>
      <c r="Q54" s="75">
        <f t="shared" si="39"/>
        <v>217.81150678585374</v>
      </c>
      <c r="R54" s="75">
        <f t="shared" si="40"/>
        <v>97.616966740258334</v>
      </c>
      <c r="S54" s="2"/>
    </row>
    <row r="55" spans="1:19" ht="15.75" thickBot="1" x14ac:dyDescent="0.3">
      <c r="A55" s="202" t="s">
        <v>53</v>
      </c>
      <c r="B55" s="202"/>
      <c r="C55" s="202"/>
      <c r="D55" s="202"/>
      <c r="E55" s="202"/>
      <c r="F55" s="202"/>
      <c r="G55" s="190">
        <f>G51+G11</f>
        <v>6104081.290000001</v>
      </c>
      <c r="H55" s="190"/>
      <c r="I55" s="190">
        <f>I51+I11</f>
        <v>810150.81159997336</v>
      </c>
      <c r="J55" s="190"/>
      <c r="K55" s="190">
        <f>K51+K11</f>
        <v>1552330.53</v>
      </c>
      <c r="L55" s="190"/>
      <c r="M55" s="190">
        <f>M51+M11</f>
        <v>1789168.89</v>
      </c>
      <c r="N55" s="190"/>
      <c r="O55" s="190">
        <f>O51+O11</f>
        <v>931826.73</v>
      </c>
      <c r="P55" s="190"/>
      <c r="Q55" s="76">
        <f>O55/I55*100</f>
        <v>115.01892199055233</v>
      </c>
      <c r="R55" s="76">
        <f>O55/M55*100</f>
        <v>52.081541055635064</v>
      </c>
    </row>
    <row r="56" spans="1:19" ht="15.75" thickBot="1" x14ac:dyDescent="0.3"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55"/>
      <c r="R56" s="37"/>
    </row>
    <row r="57" spans="1:19" x14ac:dyDescent="0.25">
      <c r="A57" s="9">
        <v>3</v>
      </c>
      <c r="B57" s="195" t="s">
        <v>54</v>
      </c>
      <c r="C57" s="195"/>
      <c r="D57" s="195"/>
      <c r="E57" s="195"/>
      <c r="F57" s="196"/>
      <c r="G57" s="197">
        <f>G58+G66+G98+G101+G106</f>
        <v>5905041.1200000001</v>
      </c>
      <c r="H57" s="198"/>
      <c r="I57" s="197">
        <f>I58+I66+I98+I101+I106</f>
        <v>783733.64125024877</v>
      </c>
      <c r="J57" s="198"/>
      <c r="K57" s="197">
        <f>K58+K66+K98+K101+K106</f>
        <v>1549543.3399999999</v>
      </c>
      <c r="L57" s="198"/>
      <c r="M57" s="197">
        <f>M58+M66+M98+M101+M106</f>
        <v>1784368.89</v>
      </c>
      <c r="N57" s="198"/>
      <c r="O57" s="197">
        <f>O58+O66+O98+O101+O106</f>
        <v>916085.07999999984</v>
      </c>
      <c r="P57" s="198"/>
      <c r="Q57" s="66">
        <f>(O57/I57)*100</f>
        <v>116.88729841156464</v>
      </c>
      <c r="R57" s="66">
        <f>O57/M57*100</f>
        <v>51.339444726589015</v>
      </c>
      <c r="S57" s="2"/>
    </row>
    <row r="58" spans="1:19" ht="15" customHeight="1" x14ac:dyDescent="0.25">
      <c r="A58" s="21">
        <v>31</v>
      </c>
      <c r="B58" s="5" t="s">
        <v>56</v>
      </c>
      <c r="C58" s="5"/>
      <c r="D58" s="5"/>
      <c r="E58" s="5"/>
      <c r="F58" s="22"/>
      <c r="G58" s="158">
        <f>G59+G61+G63</f>
        <v>5151229.57</v>
      </c>
      <c r="H58" s="159"/>
      <c r="I58" s="158">
        <f>I59+I61+I63</f>
        <v>683685.65531886648</v>
      </c>
      <c r="J58" s="159"/>
      <c r="K58" s="158">
        <f t="shared" ref="K58" si="41">K59+K61+K63</f>
        <v>1367044.94</v>
      </c>
      <c r="L58" s="159"/>
      <c r="M58" s="158">
        <f>M59+M61+M63</f>
        <v>1527748.3399999999</v>
      </c>
      <c r="N58" s="159"/>
      <c r="O58" s="158">
        <f t="shared" ref="O58" si="42">O59+O61+O63</f>
        <v>773984.95</v>
      </c>
      <c r="P58" s="159"/>
      <c r="Q58" s="56">
        <f>O58/I58*100</f>
        <v>113.20772111841639</v>
      </c>
      <c r="R58" s="56">
        <f>O58/M58*100</f>
        <v>50.661809261072413</v>
      </c>
      <c r="S58" s="2"/>
    </row>
    <row r="59" spans="1:19" x14ac:dyDescent="0.25">
      <c r="A59" s="12">
        <v>311</v>
      </c>
      <c r="B59" s="4" t="s">
        <v>57</v>
      </c>
      <c r="C59" s="4"/>
      <c r="D59" s="4"/>
      <c r="E59" s="4"/>
      <c r="F59" s="13"/>
      <c r="G59" s="148">
        <f>G60</f>
        <v>4322967.47</v>
      </c>
      <c r="H59" s="149"/>
      <c r="I59" s="148">
        <f>I60</f>
        <v>573756.38330347068</v>
      </c>
      <c r="J59" s="149"/>
      <c r="K59" s="148">
        <f t="shared" ref="K59:M59" si="43">K60</f>
        <v>1088327.03</v>
      </c>
      <c r="L59" s="149"/>
      <c r="M59" s="148">
        <f t="shared" si="43"/>
        <v>1269649.5399999998</v>
      </c>
      <c r="N59" s="149"/>
      <c r="O59" s="148">
        <f t="shared" ref="O59" si="44">O60</f>
        <v>644261.46</v>
      </c>
      <c r="P59" s="149"/>
      <c r="Q59" s="57">
        <f>O59/I59*100</f>
        <v>112.28832981179013</v>
      </c>
      <c r="R59" s="57">
        <f>O59/M59*100</f>
        <v>50.743251559008961</v>
      </c>
      <c r="S59" s="2"/>
    </row>
    <row r="60" spans="1:19" x14ac:dyDescent="0.25">
      <c r="A60" s="14">
        <v>3111</v>
      </c>
      <c r="B60" s="7" t="s">
        <v>58</v>
      </c>
      <c r="C60" s="7"/>
      <c r="D60" s="4"/>
      <c r="E60" s="4"/>
      <c r="F60" s="13"/>
      <c r="G60" s="144">
        <f>4263798.72+49431.25+9737.5</f>
        <v>4322967.47</v>
      </c>
      <c r="H60" s="145"/>
      <c r="I60" s="144">
        <f>G60/7.5345</f>
        <v>573756.38330347068</v>
      </c>
      <c r="J60" s="145"/>
      <c r="K60" s="144">
        <f>1088327.03</f>
        <v>1088327.03</v>
      </c>
      <c r="L60" s="145"/>
      <c r="M60" s="144">
        <f>1240000+16207.68+987.72+12454.14</f>
        <v>1269649.5399999998</v>
      </c>
      <c r="N60" s="145"/>
      <c r="O60" s="144">
        <v>644261.46</v>
      </c>
      <c r="P60" s="145"/>
      <c r="Q60" s="57">
        <f t="shared" ref="Q60:Q89" si="45">O60/I60*100</f>
        <v>112.28832981179013</v>
      </c>
      <c r="R60" s="57">
        <f t="shared" ref="R60:R89" si="46">O60/M60*100</f>
        <v>50.743251559008961</v>
      </c>
      <c r="S60" s="2"/>
    </row>
    <row r="61" spans="1:19" x14ac:dyDescent="0.25">
      <c r="A61" s="12">
        <v>312</v>
      </c>
      <c r="B61" s="4" t="s">
        <v>59</v>
      </c>
      <c r="C61" s="4"/>
      <c r="D61" s="4"/>
      <c r="E61" s="4"/>
      <c r="F61" s="13"/>
      <c r="G61" s="148">
        <f>G62</f>
        <v>115064.16</v>
      </c>
      <c r="H61" s="149"/>
      <c r="I61" s="148">
        <f>I62</f>
        <v>15271.638463069878</v>
      </c>
      <c r="J61" s="149"/>
      <c r="K61" s="148">
        <f t="shared" ref="K61:M61" si="47">K62</f>
        <v>59725.27</v>
      </c>
      <c r="L61" s="149"/>
      <c r="M61" s="148">
        <f t="shared" si="47"/>
        <v>50800</v>
      </c>
      <c r="N61" s="149"/>
      <c r="O61" s="148">
        <f t="shared" ref="O61" si="48">O62</f>
        <v>23263.83</v>
      </c>
      <c r="P61" s="149"/>
      <c r="Q61" s="57">
        <f t="shared" si="45"/>
        <v>152.33355645667601</v>
      </c>
      <c r="R61" s="57">
        <f t="shared" si="46"/>
        <v>45.794940944881894</v>
      </c>
      <c r="S61" s="2"/>
    </row>
    <row r="62" spans="1:19" x14ac:dyDescent="0.25">
      <c r="A62" s="14">
        <v>3121</v>
      </c>
      <c r="B62" s="7" t="s">
        <v>59</v>
      </c>
      <c r="C62" s="7"/>
      <c r="D62" s="7"/>
      <c r="E62" s="4"/>
      <c r="F62" s="13"/>
      <c r="G62" s="144">
        <f>115064.16</f>
        <v>115064.16</v>
      </c>
      <c r="H62" s="145"/>
      <c r="I62" s="144">
        <f>G62/7.5345</f>
        <v>15271.638463069878</v>
      </c>
      <c r="J62" s="145"/>
      <c r="K62" s="144">
        <v>59725.27</v>
      </c>
      <c r="L62" s="145"/>
      <c r="M62" s="144">
        <f>50000+800</f>
        <v>50800</v>
      </c>
      <c r="N62" s="145"/>
      <c r="O62" s="144">
        <v>23263.83</v>
      </c>
      <c r="P62" s="145"/>
      <c r="Q62" s="57">
        <f t="shared" si="45"/>
        <v>152.33355645667601</v>
      </c>
      <c r="R62" s="57">
        <f t="shared" si="46"/>
        <v>45.794940944881894</v>
      </c>
      <c r="S62" s="2"/>
    </row>
    <row r="63" spans="1:19" x14ac:dyDescent="0.25">
      <c r="A63" s="12">
        <v>313</v>
      </c>
      <c r="B63" s="4" t="s">
        <v>60</v>
      </c>
      <c r="C63" s="4"/>
      <c r="D63" s="4"/>
      <c r="E63" s="4"/>
      <c r="F63" s="13"/>
      <c r="G63" s="148">
        <f>G64</f>
        <v>713197.94</v>
      </c>
      <c r="H63" s="149"/>
      <c r="I63" s="148">
        <f>I64</f>
        <v>94657.633552325948</v>
      </c>
      <c r="J63" s="149"/>
      <c r="K63" s="148">
        <f t="shared" ref="K63:M63" si="49">K64</f>
        <v>218992.64000000001</v>
      </c>
      <c r="L63" s="149"/>
      <c r="M63" s="148">
        <f t="shared" si="49"/>
        <v>207298.80000000002</v>
      </c>
      <c r="N63" s="149"/>
      <c r="O63" s="148">
        <f>O64+O65</f>
        <v>106459.66</v>
      </c>
      <c r="P63" s="149"/>
      <c r="Q63" s="57">
        <f t="shared" si="45"/>
        <v>112.46811905682175</v>
      </c>
      <c r="R63" s="57">
        <f t="shared" si="46"/>
        <v>51.355656665643991</v>
      </c>
      <c r="S63" s="2"/>
    </row>
    <row r="64" spans="1:19" x14ac:dyDescent="0.25">
      <c r="A64" s="14">
        <v>3132</v>
      </c>
      <c r="B64" s="7" t="s">
        <v>61</v>
      </c>
      <c r="C64" s="7"/>
      <c r="D64" s="7"/>
      <c r="E64" s="7"/>
      <c r="F64" s="15"/>
      <c r="G64" s="144">
        <f>703435.09+8156.16+1606.69</f>
        <v>713197.94</v>
      </c>
      <c r="H64" s="145"/>
      <c r="I64" s="144">
        <f>G64/7.5345</f>
        <v>94657.633552325948</v>
      </c>
      <c r="J64" s="145"/>
      <c r="K64" s="144">
        <v>218992.64000000001</v>
      </c>
      <c r="L64" s="145"/>
      <c r="M64" s="144">
        <f>205000+179.14+2119.66</f>
        <v>207298.80000000002</v>
      </c>
      <c r="N64" s="145"/>
      <c r="O64" s="144">
        <v>106286.92</v>
      </c>
      <c r="P64" s="145"/>
      <c r="Q64" s="57">
        <f t="shared" si="45"/>
        <v>112.28562981267167</v>
      </c>
      <c r="R64" s="57">
        <f t="shared" si="46"/>
        <v>51.272327673869789</v>
      </c>
      <c r="S64" s="2"/>
    </row>
    <row r="65" spans="1:19" x14ac:dyDescent="0.25">
      <c r="A65" s="14">
        <v>3133</v>
      </c>
      <c r="B65" s="7" t="s">
        <v>204</v>
      </c>
      <c r="C65" s="7"/>
      <c r="D65" s="7"/>
      <c r="E65" s="7"/>
      <c r="F65" s="15"/>
      <c r="G65" s="144"/>
      <c r="H65" s="145"/>
      <c r="I65" s="144">
        <f>G65/7.5345</f>
        <v>0</v>
      </c>
      <c r="J65" s="145"/>
      <c r="K65" s="144"/>
      <c r="L65" s="145"/>
      <c r="M65" s="144"/>
      <c r="N65" s="145"/>
      <c r="O65" s="144">
        <v>172.74</v>
      </c>
      <c r="P65" s="145"/>
      <c r="Q65" s="57" t="e">
        <f t="shared" ref="Q65" si="50">O65/I65*100</f>
        <v>#DIV/0!</v>
      </c>
      <c r="R65" s="57" t="e">
        <f t="shared" ref="R65" si="51">O65/M65*100</f>
        <v>#DIV/0!</v>
      </c>
      <c r="S65" s="2"/>
    </row>
    <row r="66" spans="1:19" x14ac:dyDescent="0.25">
      <c r="A66" s="21">
        <v>32</v>
      </c>
      <c r="B66" s="5" t="s">
        <v>62</v>
      </c>
      <c r="C66" s="5"/>
      <c r="D66" s="5"/>
      <c r="E66" s="5"/>
      <c r="F66" s="22"/>
      <c r="G66" s="158">
        <f>G67+G72+G79+G89</f>
        <v>752311.55</v>
      </c>
      <c r="H66" s="159"/>
      <c r="I66" s="158">
        <f>I67+I72+I79+I89</f>
        <v>99848.90171876036</v>
      </c>
      <c r="J66" s="159"/>
      <c r="K66" s="158">
        <f t="shared" ref="K66:M66" si="52">K67+K72+K79+K89</f>
        <v>182498.4</v>
      </c>
      <c r="L66" s="159"/>
      <c r="M66" s="158">
        <f t="shared" si="52"/>
        <v>255193.34999999998</v>
      </c>
      <c r="N66" s="159"/>
      <c r="O66" s="158">
        <f t="shared" ref="O66" si="53">O67+O72+O79+O89</f>
        <v>136274.68</v>
      </c>
      <c r="P66" s="159"/>
      <c r="Q66" s="56">
        <f t="shared" si="45"/>
        <v>136.48090029456549</v>
      </c>
      <c r="R66" s="56">
        <f t="shared" si="46"/>
        <v>53.400560790475147</v>
      </c>
      <c r="S66" s="2"/>
    </row>
    <row r="67" spans="1:19" x14ac:dyDescent="0.25">
      <c r="A67" s="12">
        <v>321</v>
      </c>
      <c r="B67" s="4" t="s">
        <v>63</v>
      </c>
      <c r="C67" s="4"/>
      <c r="D67" s="4"/>
      <c r="E67" s="4"/>
      <c r="F67" s="13"/>
      <c r="G67" s="148">
        <f>G68+G69+G70+G71</f>
        <v>224380.33</v>
      </c>
      <c r="H67" s="149"/>
      <c r="I67" s="148">
        <f>I68+I69+I70+I71</f>
        <v>29780.387550600564</v>
      </c>
      <c r="J67" s="149"/>
      <c r="K67" s="148">
        <f t="shared" ref="K67" si="54">K68+K69+K70+K71</f>
        <v>55383.94</v>
      </c>
      <c r="L67" s="149"/>
      <c r="M67" s="148">
        <f t="shared" ref="M67:O67" si="55">M68+M69+M70+M71</f>
        <v>66110.37</v>
      </c>
      <c r="N67" s="149"/>
      <c r="O67" s="148">
        <f t="shared" si="55"/>
        <v>44016.669999999991</v>
      </c>
      <c r="P67" s="149"/>
      <c r="Q67" s="57">
        <f t="shared" si="45"/>
        <v>147.80422157102632</v>
      </c>
      <c r="R67" s="57">
        <f t="shared" si="46"/>
        <v>66.580583348724247</v>
      </c>
      <c r="S67" s="2"/>
    </row>
    <row r="68" spans="1:19" x14ac:dyDescent="0.25">
      <c r="A68" s="14">
        <v>3211</v>
      </c>
      <c r="B68" s="7" t="s">
        <v>64</v>
      </c>
      <c r="C68" s="7"/>
      <c r="D68" s="7"/>
      <c r="E68" s="7"/>
      <c r="F68" s="15"/>
      <c r="G68" s="144">
        <f>33999.86+34866.09</f>
        <v>68865.95</v>
      </c>
      <c r="H68" s="145"/>
      <c r="I68" s="144">
        <f t="shared" ref="I68:I71" si="56">G68/7.5345</f>
        <v>9140.0822881412168</v>
      </c>
      <c r="J68" s="145"/>
      <c r="K68" s="144">
        <f>6636.14+9130.02</f>
        <v>15766.16</v>
      </c>
      <c r="L68" s="145"/>
      <c r="M68" s="144">
        <f>12000+265+300+849.82+9729.79</f>
        <v>23144.61</v>
      </c>
      <c r="N68" s="145"/>
      <c r="O68" s="144">
        <v>18406.419999999998</v>
      </c>
      <c r="P68" s="145"/>
      <c r="Q68" s="57">
        <f t="shared" si="45"/>
        <v>201.38133793260673</v>
      </c>
      <c r="R68" s="57">
        <f t="shared" si="46"/>
        <v>79.527890078942775</v>
      </c>
      <c r="S68" s="2"/>
    </row>
    <row r="69" spans="1:19" x14ac:dyDescent="0.25">
      <c r="A69" s="14">
        <v>3212</v>
      </c>
      <c r="B69" s="7" t="s">
        <v>65</v>
      </c>
      <c r="C69" s="7"/>
      <c r="D69" s="7"/>
      <c r="E69" s="7"/>
      <c r="F69" s="15"/>
      <c r="G69" s="144">
        <f>127380+3891.18+1486.8</f>
        <v>132757.97999999998</v>
      </c>
      <c r="H69" s="145"/>
      <c r="I69" s="144">
        <f t="shared" si="56"/>
        <v>17620.011945052753</v>
      </c>
      <c r="J69" s="145"/>
      <c r="K69" s="144">
        <v>32517.09</v>
      </c>
      <c r="L69" s="145"/>
      <c r="M69" s="144">
        <f>34300+82.78+782.98</f>
        <v>35165.760000000002</v>
      </c>
      <c r="N69" s="145"/>
      <c r="O69" s="144">
        <v>19831.060000000001</v>
      </c>
      <c r="P69" s="145"/>
      <c r="Q69" s="57">
        <f t="shared" si="45"/>
        <v>112.54850485823906</v>
      </c>
      <c r="R69" s="57">
        <f t="shared" si="46"/>
        <v>56.393093736634725</v>
      </c>
      <c r="S69" s="2"/>
    </row>
    <row r="70" spans="1:19" x14ac:dyDescent="0.25">
      <c r="A70" s="14">
        <v>3213</v>
      </c>
      <c r="B70" s="7" t="s">
        <v>66</v>
      </c>
      <c r="C70" s="7"/>
      <c r="D70" s="7"/>
      <c r="E70" s="7"/>
      <c r="F70" s="15"/>
      <c r="G70" s="144">
        <f>6550+12734.4</f>
        <v>19284.400000000001</v>
      </c>
      <c r="H70" s="145"/>
      <c r="I70" s="144">
        <f t="shared" si="56"/>
        <v>2559.4797265910147</v>
      </c>
      <c r="J70" s="145"/>
      <c r="K70" s="144">
        <f>1260.87+5308.92</f>
        <v>6569.79</v>
      </c>
      <c r="L70" s="145"/>
      <c r="M70" s="144">
        <v>6300</v>
      </c>
      <c r="N70" s="145"/>
      <c r="O70" s="144">
        <v>4917.99</v>
      </c>
      <c r="P70" s="145"/>
      <c r="Q70" s="57">
        <f t="shared" si="45"/>
        <v>192.14803496608656</v>
      </c>
      <c r="R70" s="57">
        <f t="shared" si="46"/>
        <v>78.063333333333333</v>
      </c>
      <c r="S70" s="2"/>
    </row>
    <row r="71" spans="1:19" x14ac:dyDescent="0.25">
      <c r="A71" s="14">
        <v>3214</v>
      </c>
      <c r="B71" s="7" t="s">
        <v>98</v>
      </c>
      <c r="C71" s="7"/>
      <c r="D71" s="7"/>
      <c r="E71" s="7"/>
      <c r="F71" s="15"/>
      <c r="G71" s="144">
        <v>3472</v>
      </c>
      <c r="H71" s="145"/>
      <c r="I71" s="144">
        <f t="shared" si="56"/>
        <v>460.81359081558162</v>
      </c>
      <c r="J71" s="145"/>
      <c r="K71" s="144">
        <v>530.9</v>
      </c>
      <c r="L71" s="145"/>
      <c r="M71" s="144">
        <v>1500</v>
      </c>
      <c r="N71" s="145"/>
      <c r="O71" s="144">
        <v>861.2</v>
      </c>
      <c r="P71" s="145"/>
      <c r="Q71" s="57">
        <f t="shared" si="45"/>
        <v>186.88684907834104</v>
      </c>
      <c r="R71" s="57">
        <f t="shared" si="46"/>
        <v>57.413333333333341</v>
      </c>
      <c r="S71" s="2"/>
    </row>
    <row r="72" spans="1:19" x14ac:dyDescent="0.25">
      <c r="A72" s="12">
        <v>322</v>
      </c>
      <c r="B72" s="4" t="s">
        <v>67</v>
      </c>
      <c r="C72" s="4"/>
      <c r="D72" s="4"/>
      <c r="E72" s="4"/>
      <c r="F72" s="13"/>
      <c r="G72" s="148">
        <f>SUM(G73:H78)</f>
        <v>353041.14000000007</v>
      </c>
      <c r="H72" s="149"/>
      <c r="I72" s="148">
        <f>I73+I74+I75+I76+I77+I78</f>
        <v>46856.611586701176</v>
      </c>
      <c r="J72" s="149"/>
      <c r="K72" s="148">
        <f t="shared" ref="K72:M72" si="57">K73+K74+K75+K76+K77+K78</f>
        <v>71006.75</v>
      </c>
      <c r="L72" s="149"/>
      <c r="M72" s="148">
        <f t="shared" si="57"/>
        <v>104195.26</v>
      </c>
      <c r="N72" s="149"/>
      <c r="O72" s="148">
        <f t="shared" ref="O72" si="58">O73+O74+O75+O76+O77+O78</f>
        <v>49947.91</v>
      </c>
      <c r="P72" s="149"/>
      <c r="Q72" s="57">
        <f t="shared" si="45"/>
        <v>106.59735800054351</v>
      </c>
      <c r="R72" s="57">
        <f t="shared" si="46"/>
        <v>47.936835130504022</v>
      </c>
      <c r="S72" s="2"/>
    </row>
    <row r="73" spans="1:19" x14ac:dyDescent="0.25">
      <c r="A73" s="14">
        <v>3221</v>
      </c>
      <c r="B73" s="7" t="s">
        <v>68</v>
      </c>
      <c r="C73" s="7"/>
      <c r="D73" s="7"/>
      <c r="E73" s="7"/>
      <c r="F73" s="15"/>
      <c r="G73" s="144">
        <f>51343.43</f>
        <v>51343.43</v>
      </c>
      <c r="H73" s="145"/>
      <c r="I73" s="144">
        <f t="shared" ref="I73:I78" si="59">G73/7.5345</f>
        <v>6814.4442232397632</v>
      </c>
      <c r="J73" s="145"/>
      <c r="K73" s="144">
        <f>10617.83+1061.79</f>
        <v>11679.619999999999</v>
      </c>
      <c r="L73" s="145"/>
      <c r="M73" s="144">
        <f>14000+265+600</f>
        <v>14865</v>
      </c>
      <c r="N73" s="145"/>
      <c r="O73" s="144">
        <v>8689.2000000000007</v>
      </c>
      <c r="P73" s="145"/>
      <c r="Q73" s="57">
        <f t="shared" si="45"/>
        <v>127.51149932912548</v>
      </c>
      <c r="R73" s="57">
        <f t="shared" si="46"/>
        <v>58.454086781029268</v>
      </c>
      <c r="S73" s="2"/>
    </row>
    <row r="74" spans="1:19" x14ac:dyDescent="0.25">
      <c r="A74" s="14">
        <v>3222</v>
      </c>
      <c r="B74" s="7" t="s">
        <v>99</v>
      </c>
      <c r="C74" s="7"/>
      <c r="D74" s="7"/>
      <c r="E74" s="7"/>
      <c r="F74" s="15"/>
      <c r="G74" s="144">
        <f>80259.32+2712.21</f>
        <v>82971.530000000013</v>
      </c>
      <c r="H74" s="145"/>
      <c r="I74" s="144">
        <f t="shared" si="59"/>
        <v>11012.214480058399</v>
      </c>
      <c r="J74" s="145"/>
      <c r="K74" s="144">
        <f>19908.43+796.34</f>
        <v>20704.77</v>
      </c>
      <c r="L74" s="145"/>
      <c r="M74" s="144">
        <f>20000+1500</f>
        <v>21500</v>
      </c>
      <c r="N74" s="145"/>
      <c r="O74" s="144">
        <v>11031.37</v>
      </c>
      <c r="P74" s="145"/>
      <c r="Q74" s="57">
        <f t="shared" si="45"/>
        <v>100.17394793732259</v>
      </c>
      <c r="R74" s="57">
        <f t="shared" si="46"/>
        <v>51.30869767441861</v>
      </c>
      <c r="S74" s="2"/>
    </row>
    <row r="75" spans="1:19" x14ac:dyDescent="0.25">
      <c r="A75" s="14">
        <v>3223</v>
      </c>
      <c r="B75" s="7" t="s">
        <v>69</v>
      </c>
      <c r="C75" s="7"/>
      <c r="D75" s="7"/>
      <c r="E75" s="7"/>
      <c r="F75" s="15"/>
      <c r="G75" s="144">
        <v>195647.23</v>
      </c>
      <c r="H75" s="145"/>
      <c r="I75" s="144">
        <f t="shared" si="59"/>
        <v>25966.849824142279</v>
      </c>
      <c r="J75" s="145"/>
      <c r="K75" s="144">
        <v>33180.71</v>
      </c>
      <c r="L75" s="145"/>
      <c r="M75" s="144">
        <v>60000</v>
      </c>
      <c r="N75" s="145"/>
      <c r="O75" s="144">
        <v>26835</v>
      </c>
      <c r="P75" s="145"/>
      <c r="Q75" s="57">
        <f t="shared" si="45"/>
        <v>103.34330187041239</v>
      </c>
      <c r="R75" s="57">
        <f t="shared" si="46"/>
        <v>44.725000000000001</v>
      </c>
      <c r="S75" s="2"/>
    </row>
    <row r="76" spans="1:19" x14ac:dyDescent="0.25">
      <c r="A76" s="14">
        <v>3224</v>
      </c>
      <c r="B76" s="7" t="s">
        <v>70</v>
      </c>
      <c r="C76" s="7"/>
      <c r="D76" s="7"/>
      <c r="E76" s="7"/>
      <c r="F76" s="15"/>
      <c r="G76" s="144">
        <v>14147.01</v>
      </c>
      <c r="H76" s="145"/>
      <c r="I76" s="144">
        <f t="shared" si="59"/>
        <v>1877.6308978697989</v>
      </c>
      <c r="J76" s="145"/>
      <c r="K76" s="144">
        <v>4645.3</v>
      </c>
      <c r="L76" s="145"/>
      <c r="M76" s="144">
        <f>6000+1000</f>
        <v>7000</v>
      </c>
      <c r="N76" s="145"/>
      <c r="O76" s="144">
        <v>2862.08</v>
      </c>
      <c r="P76" s="145"/>
      <c r="Q76" s="57">
        <f t="shared" si="45"/>
        <v>152.43038465371833</v>
      </c>
      <c r="R76" s="57">
        <f t="shared" si="46"/>
        <v>40.886857142857139</v>
      </c>
      <c r="S76" s="2"/>
    </row>
    <row r="77" spans="1:19" x14ac:dyDescent="0.25">
      <c r="A77" s="14">
        <v>3225</v>
      </c>
      <c r="B77" s="7" t="s">
        <v>71</v>
      </c>
      <c r="C77" s="7"/>
      <c r="D77" s="7"/>
      <c r="E77" s="7"/>
      <c r="F77" s="15"/>
      <c r="G77" s="144">
        <v>4973.1000000000004</v>
      </c>
      <c r="H77" s="145"/>
      <c r="I77" s="144">
        <f t="shared" si="59"/>
        <v>660.04379852677687</v>
      </c>
      <c r="J77" s="145"/>
      <c r="K77" s="144">
        <v>265.45</v>
      </c>
      <c r="L77" s="145"/>
      <c r="M77" s="144">
        <v>300</v>
      </c>
      <c r="N77" s="145"/>
      <c r="O77" s="144"/>
      <c r="P77" s="145"/>
      <c r="Q77" s="57">
        <f t="shared" si="45"/>
        <v>0</v>
      </c>
      <c r="R77" s="57">
        <f t="shared" si="46"/>
        <v>0</v>
      </c>
      <c r="S77" s="2"/>
    </row>
    <row r="78" spans="1:19" x14ac:dyDescent="0.25">
      <c r="A78" s="14">
        <v>3227</v>
      </c>
      <c r="B78" s="7" t="s">
        <v>72</v>
      </c>
      <c r="C78" s="7"/>
      <c r="D78" s="7"/>
      <c r="E78" s="7"/>
      <c r="F78" s="15"/>
      <c r="G78" s="144">
        <v>3958.84</v>
      </c>
      <c r="H78" s="145"/>
      <c r="I78" s="144">
        <f t="shared" si="59"/>
        <v>525.4283628641582</v>
      </c>
      <c r="J78" s="145"/>
      <c r="K78" s="144">
        <v>530.9</v>
      </c>
      <c r="L78" s="145"/>
      <c r="M78" s="144">
        <v>530.26</v>
      </c>
      <c r="N78" s="145"/>
      <c r="O78" s="144">
        <v>530.26</v>
      </c>
      <c r="P78" s="145"/>
      <c r="Q78" s="57">
        <f t="shared" si="45"/>
        <v>100.91956153822836</v>
      </c>
      <c r="R78" s="57">
        <f t="shared" si="46"/>
        <v>100</v>
      </c>
      <c r="S78" s="2"/>
    </row>
    <row r="79" spans="1:19" x14ac:dyDescent="0.25">
      <c r="A79" s="12">
        <v>323</v>
      </c>
      <c r="B79" s="4" t="s">
        <v>73</v>
      </c>
      <c r="C79" s="4"/>
      <c r="D79" s="4"/>
      <c r="E79" s="4"/>
      <c r="F79" s="13"/>
      <c r="G79" s="148">
        <f>G80+G81+G82+G83+G84+G85+G86+G87+G88</f>
        <v>154473.64000000001</v>
      </c>
      <c r="H79" s="149"/>
      <c r="I79" s="148">
        <f>I80+I81+I82+I83+I84+I85+I86+I87+I88</f>
        <v>20502.175326829914</v>
      </c>
      <c r="J79" s="149"/>
      <c r="K79" s="148">
        <f t="shared" ref="K79:M79" si="60">K80+K81+K82+K83+K84+K85+K86+K87+K88</f>
        <v>45842.5</v>
      </c>
      <c r="L79" s="149"/>
      <c r="M79" s="148">
        <f t="shared" si="60"/>
        <v>63399.92</v>
      </c>
      <c r="N79" s="149"/>
      <c r="O79" s="148">
        <f t="shared" ref="O79" si="61">O80+O81+O82+O83+O84+O85+O86+O87+O88</f>
        <v>33641.230000000003</v>
      </c>
      <c r="P79" s="149"/>
      <c r="Q79" s="57">
        <f t="shared" si="45"/>
        <v>164.08614921937493</v>
      </c>
      <c r="R79" s="57">
        <f t="shared" si="46"/>
        <v>53.061943926743126</v>
      </c>
      <c r="S79" s="2"/>
    </row>
    <row r="80" spans="1:19" x14ac:dyDescent="0.25">
      <c r="A80" s="14">
        <v>3231</v>
      </c>
      <c r="B80" s="7" t="s">
        <v>74</v>
      </c>
      <c r="C80" s="7"/>
      <c r="D80" s="7"/>
      <c r="E80" s="7"/>
      <c r="F80" s="15"/>
      <c r="G80" s="144">
        <f>12769.52+34013</f>
        <v>46782.520000000004</v>
      </c>
      <c r="H80" s="145"/>
      <c r="I80" s="144">
        <f t="shared" ref="I80:I88" si="62">G80/7.5345</f>
        <v>6209.1074391134116</v>
      </c>
      <c r="J80" s="145"/>
      <c r="K80" s="144">
        <f>3716.24+1858.12+15926.74</f>
        <v>21501.1</v>
      </c>
      <c r="L80" s="145"/>
      <c r="M80" s="144">
        <f>5500+27000</f>
        <v>32500</v>
      </c>
      <c r="N80" s="145"/>
      <c r="O80" s="144">
        <v>22561.43</v>
      </c>
      <c r="P80" s="145"/>
      <c r="Q80" s="57">
        <f t="shared" si="45"/>
        <v>363.36027716121322</v>
      </c>
      <c r="R80" s="57">
        <f t="shared" si="46"/>
        <v>69.419784615384614</v>
      </c>
      <c r="S80" s="2"/>
    </row>
    <row r="81" spans="1:19" x14ac:dyDescent="0.25">
      <c r="A81" s="14">
        <v>3232</v>
      </c>
      <c r="B81" s="7" t="s">
        <v>75</v>
      </c>
      <c r="C81" s="7"/>
      <c r="D81" s="7"/>
      <c r="E81" s="7"/>
      <c r="F81" s="15"/>
      <c r="G81" s="144">
        <v>32164.75</v>
      </c>
      <c r="H81" s="145"/>
      <c r="I81" s="144">
        <f t="shared" si="62"/>
        <v>4268.9959519543427</v>
      </c>
      <c r="J81" s="145"/>
      <c r="K81" s="144">
        <v>3981.69</v>
      </c>
      <c r="L81" s="145"/>
      <c r="M81" s="144">
        <f>5400</f>
        <v>5400</v>
      </c>
      <c r="N81" s="145"/>
      <c r="O81" s="144">
        <v>387.68</v>
      </c>
      <c r="P81" s="145"/>
      <c r="Q81" s="57">
        <f t="shared" si="45"/>
        <v>9.0812922842552801</v>
      </c>
      <c r="R81" s="57">
        <f t="shared" si="46"/>
        <v>7.1792592592592586</v>
      </c>
      <c r="S81" s="2"/>
    </row>
    <row r="82" spans="1:19" x14ac:dyDescent="0.25">
      <c r="A82" s="14">
        <v>3233</v>
      </c>
      <c r="B82" s="7" t="s">
        <v>101</v>
      </c>
      <c r="C82" s="7"/>
      <c r="D82" s="7"/>
      <c r="E82" s="7"/>
      <c r="F82" s="15"/>
      <c r="G82" s="144">
        <v>480</v>
      </c>
      <c r="H82" s="145"/>
      <c r="I82" s="144">
        <f t="shared" si="62"/>
        <v>63.706948039020503</v>
      </c>
      <c r="J82" s="145"/>
      <c r="K82" s="144">
        <v>132.72999999999999</v>
      </c>
      <c r="L82" s="145"/>
      <c r="M82" s="144">
        <v>127.44</v>
      </c>
      <c r="N82" s="145"/>
      <c r="O82" s="144">
        <v>63.72</v>
      </c>
      <c r="P82" s="145"/>
      <c r="Q82" s="57">
        <f t="shared" si="45"/>
        <v>100.02048750000002</v>
      </c>
      <c r="R82" s="57">
        <f t="shared" si="46"/>
        <v>50</v>
      </c>
      <c r="S82" s="2"/>
    </row>
    <row r="83" spans="1:19" x14ac:dyDescent="0.25">
      <c r="A83" s="14">
        <v>3234</v>
      </c>
      <c r="B83" s="7" t="s">
        <v>100</v>
      </c>
      <c r="C83" s="7"/>
      <c r="D83" s="7"/>
      <c r="E83" s="7"/>
      <c r="F83" s="15"/>
      <c r="G83" s="144">
        <v>23791.49</v>
      </c>
      <c r="H83" s="145"/>
      <c r="I83" s="144">
        <f t="shared" si="62"/>
        <v>3157.6733691684917</v>
      </c>
      <c r="J83" s="145"/>
      <c r="K83" s="144">
        <v>7299.76</v>
      </c>
      <c r="L83" s="145"/>
      <c r="M83" s="144">
        <v>7500</v>
      </c>
      <c r="N83" s="145"/>
      <c r="O83" s="144">
        <v>3870.44</v>
      </c>
      <c r="P83" s="145"/>
      <c r="Q83" s="57">
        <f t="shared" si="45"/>
        <v>122.572525638369</v>
      </c>
      <c r="R83" s="57">
        <f t="shared" si="46"/>
        <v>51.605866666666664</v>
      </c>
      <c r="S83" s="2"/>
    </row>
    <row r="84" spans="1:19" x14ac:dyDescent="0.25">
      <c r="A84" s="14">
        <v>3235</v>
      </c>
      <c r="B84" s="7" t="s">
        <v>76</v>
      </c>
      <c r="C84" s="7"/>
      <c r="D84" s="7"/>
      <c r="E84" s="7"/>
      <c r="F84" s="15"/>
      <c r="G84" s="144">
        <v>5129.88</v>
      </c>
      <c r="H84" s="145"/>
      <c r="I84" s="144">
        <f t="shared" si="62"/>
        <v>680.85208043002183</v>
      </c>
      <c r="J84" s="145"/>
      <c r="K84" s="144">
        <v>1061.79</v>
      </c>
      <c r="L84" s="145"/>
      <c r="M84" s="144">
        <v>1800</v>
      </c>
      <c r="N84" s="145"/>
      <c r="O84" s="144">
        <v>752.03</v>
      </c>
      <c r="P84" s="145"/>
      <c r="Q84" s="57">
        <f t="shared" si="45"/>
        <v>110.45424132728252</v>
      </c>
      <c r="R84" s="57">
        <f t="shared" si="46"/>
        <v>41.779444444444444</v>
      </c>
      <c r="S84" s="2"/>
    </row>
    <row r="85" spans="1:19" x14ac:dyDescent="0.25">
      <c r="A85" s="14">
        <v>3236</v>
      </c>
      <c r="B85" s="7" t="s">
        <v>77</v>
      </c>
      <c r="C85" s="7"/>
      <c r="D85" s="7"/>
      <c r="E85" s="7"/>
      <c r="F85" s="15"/>
      <c r="G85" s="144">
        <f>2327+10450</f>
        <v>12777</v>
      </c>
      <c r="H85" s="145"/>
      <c r="I85" s="144">
        <f t="shared" si="62"/>
        <v>1695.799323113677</v>
      </c>
      <c r="J85" s="145"/>
      <c r="K85" s="144">
        <v>4300.22</v>
      </c>
      <c r="L85" s="145"/>
      <c r="M85" s="144">
        <v>4300</v>
      </c>
      <c r="N85" s="145"/>
      <c r="O85" s="144">
        <v>133.66</v>
      </c>
      <c r="P85" s="145"/>
      <c r="Q85" s="57">
        <f t="shared" si="45"/>
        <v>7.8818288330594042</v>
      </c>
      <c r="R85" s="57">
        <f t="shared" si="46"/>
        <v>3.1083720930232555</v>
      </c>
      <c r="S85" s="2"/>
    </row>
    <row r="86" spans="1:19" x14ac:dyDescent="0.25">
      <c r="A86" s="14">
        <v>3237</v>
      </c>
      <c r="B86" s="7" t="s">
        <v>78</v>
      </c>
      <c r="C86" s="7"/>
      <c r="D86" s="7"/>
      <c r="E86" s="7"/>
      <c r="F86" s="15"/>
      <c r="G86" s="144">
        <f>16500+2770.62</f>
        <v>19270.62</v>
      </c>
      <c r="H86" s="145"/>
      <c r="I86" s="144">
        <f t="shared" si="62"/>
        <v>2557.6508062910607</v>
      </c>
      <c r="J86" s="145"/>
      <c r="K86" s="144">
        <f>2654.46+929.06</f>
        <v>3583.52</v>
      </c>
      <c r="L86" s="145"/>
      <c r="M86" s="144">
        <f>2700+1077.46+730.02</f>
        <v>4507.4799999999996</v>
      </c>
      <c r="N86" s="145"/>
      <c r="O86" s="144">
        <v>3159.15</v>
      </c>
      <c r="P86" s="145"/>
      <c r="Q86" s="57">
        <f t="shared" si="45"/>
        <v>123.51764330882973</v>
      </c>
      <c r="R86" s="57">
        <f t="shared" si="46"/>
        <v>70.086833441302019</v>
      </c>
      <c r="S86" s="2"/>
    </row>
    <row r="87" spans="1:19" x14ac:dyDescent="0.25">
      <c r="A87" s="14">
        <v>3238</v>
      </c>
      <c r="B87" s="7" t="s">
        <v>79</v>
      </c>
      <c r="C87" s="7"/>
      <c r="D87" s="7"/>
      <c r="E87" s="7"/>
      <c r="F87" s="15"/>
      <c r="G87" s="144">
        <v>10080.879999999999</v>
      </c>
      <c r="H87" s="145"/>
      <c r="I87" s="144">
        <f t="shared" si="62"/>
        <v>1337.9627048908353</v>
      </c>
      <c r="J87" s="145"/>
      <c r="K87" s="144">
        <v>2654.46</v>
      </c>
      <c r="L87" s="145"/>
      <c r="M87" s="144">
        <v>5000</v>
      </c>
      <c r="N87" s="145"/>
      <c r="O87" s="144">
        <v>2006.82</v>
      </c>
      <c r="P87" s="145"/>
      <c r="Q87" s="57">
        <f t="shared" si="45"/>
        <v>149.99072789280302</v>
      </c>
      <c r="R87" s="57">
        <f t="shared" si="46"/>
        <v>40.136400000000002</v>
      </c>
      <c r="S87" s="2"/>
    </row>
    <row r="88" spans="1:19" x14ac:dyDescent="0.25">
      <c r="A88" s="14">
        <v>3239</v>
      </c>
      <c r="B88" s="7" t="s">
        <v>80</v>
      </c>
      <c r="C88" s="7"/>
      <c r="D88" s="7"/>
      <c r="E88" s="7"/>
      <c r="F88" s="15"/>
      <c r="G88" s="144">
        <v>3996.5</v>
      </c>
      <c r="H88" s="145"/>
      <c r="I88" s="144">
        <f t="shared" si="62"/>
        <v>530.42670382905294</v>
      </c>
      <c r="J88" s="145"/>
      <c r="K88" s="144">
        <v>1327.23</v>
      </c>
      <c r="L88" s="145"/>
      <c r="M88" s="144">
        <f>2000+265</f>
        <v>2265</v>
      </c>
      <c r="N88" s="145"/>
      <c r="O88" s="144">
        <v>706.3</v>
      </c>
      <c r="P88" s="145"/>
      <c r="Q88" s="57">
        <f t="shared" si="45"/>
        <v>133.15694607781811</v>
      </c>
      <c r="R88" s="57">
        <f t="shared" si="46"/>
        <v>31.183222958057392</v>
      </c>
      <c r="S88" s="2"/>
    </row>
    <row r="89" spans="1:19" x14ac:dyDescent="0.25">
      <c r="A89" s="12">
        <v>329</v>
      </c>
      <c r="B89" s="4" t="s">
        <v>81</v>
      </c>
      <c r="C89" s="4"/>
      <c r="D89" s="4"/>
      <c r="E89" s="4"/>
      <c r="F89" s="13"/>
      <c r="G89" s="148">
        <f>G90+G92+G93+G94+G95+G96+G97</f>
        <v>20416.439999999999</v>
      </c>
      <c r="H89" s="149"/>
      <c r="I89" s="148">
        <f>I90+I92+I93+I94+I95+I96+I97</f>
        <v>2709.7272546287077</v>
      </c>
      <c r="J89" s="149"/>
      <c r="K89" s="148">
        <f>K90+K92+K93+K94+K95+K96+K97</f>
        <v>10265.209999999999</v>
      </c>
      <c r="L89" s="149"/>
      <c r="M89" s="148">
        <f>M90+M92+M93+M94+M95+M96+M97</f>
        <v>21487.8</v>
      </c>
      <c r="N89" s="149"/>
      <c r="O89" s="148">
        <f t="shared" ref="O89" si="63">O90+O92+O93+O94+O95+O96+O97</f>
        <v>8668.869999999999</v>
      </c>
      <c r="P89" s="149"/>
      <c r="Q89" s="57">
        <f t="shared" si="45"/>
        <v>319.91669955682772</v>
      </c>
      <c r="R89" s="57">
        <f t="shared" si="46"/>
        <v>40.343218012081273</v>
      </c>
      <c r="S89" s="2"/>
    </row>
    <row r="90" spans="1:19" x14ac:dyDescent="0.25">
      <c r="A90" s="17">
        <v>3291</v>
      </c>
      <c r="B90" s="191" t="s">
        <v>82</v>
      </c>
      <c r="C90" s="191"/>
      <c r="D90" s="191"/>
      <c r="E90" s="191"/>
      <c r="F90" s="192"/>
      <c r="G90" s="142"/>
      <c r="H90" s="179"/>
      <c r="I90" s="142">
        <f>G90/7.5345</f>
        <v>0</v>
      </c>
      <c r="J90" s="179"/>
      <c r="K90" s="142">
        <v>132.72999999999999</v>
      </c>
      <c r="L90" s="179"/>
      <c r="M90" s="142">
        <v>150</v>
      </c>
      <c r="N90" s="179"/>
      <c r="O90" s="142"/>
      <c r="P90" s="179"/>
      <c r="Q90" s="182" t="e">
        <f>O90/I90*100</f>
        <v>#DIV/0!</v>
      </c>
      <c r="R90" s="182">
        <f>O90/M90*100</f>
        <v>0</v>
      </c>
      <c r="S90" s="2"/>
    </row>
    <row r="91" spans="1:19" x14ac:dyDescent="0.25">
      <c r="A91" s="31"/>
      <c r="B91" s="191"/>
      <c r="C91" s="191"/>
      <c r="D91" s="191"/>
      <c r="E91" s="191"/>
      <c r="F91" s="192"/>
      <c r="G91" s="180"/>
      <c r="H91" s="181"/>
      <c r="I91" s="180"/>
      <c r="J91" s="181"/>
      <c r="K91" s="180"/>
      <c r="L91" s="181"/>
      <c r="M91" s="180"/>
      <c r="N91" s="181"/>
      <c r="O91" s="180"/>
      <c r="P91" s="181"/>
      <c r="Q91" s="183"/>
      <c r="R91" s="183"/>
      <c r="S91" s="2"/>
    </row>
    <row r="92" spans="1:19" x14ac:dyDescent="0.25">
      <c r="A92" s="14">
        <v>3292</v>
      </c>
      <c r="B92" s="7" t="s">
        <v>83</v>
      </c>
      <c r="C92" s="7"/>
      <c r="D92" s="7"/>
      <c r="E92" s="7"/>
      <c r="F92" s="15"/>
      <c r="G92" s="144">
        <v>573.29999999999995</v>
      </c>
      <c r="H92" s="145"/>
      <c r="I92" s="144">
        <f t="shared" ref="I92:I96" si="64">G92/7.5345</f>
        <v>76.089986064105105</v>
      </c>
      <c r="J92" s="145"/>
      <c r="K92" s="144">
        <v>530.9</v>
      </c>
      <c r="L92" s="145"/>
      <c r="M92" s="144">
        <v>530.9</v>
      </c>
      <c r="N92" s="145"/>
      <c r="O92" s="188"/>
      <c r="P92" s="188"/>
      <c r="Q92" s="57">
        <f>O92/I92*100</f>
        <v>0</v>
      </c>
      <c r="R92" s="57">
        <f>O92/M92*100</f>
        <v>0</v>
      </c>
      <c r="S92" s="2"/>
    </row>
    <row r="93" spans="1:19" x14ac:dyDescent="0.25">
      <c r="A93" s="14">
        <v>3293</v>
      </c>
      <c r="B93" s="7" t="s">
        <v>84</v>
      </c>
      <c r="C93" s="7"/>
      <c r="D93" s="7"/>
      <c r="E93" s="7"/>
      <c r="F93" s="15"/>
      <c r="G93" s="144"/>
      <c r="H93" s="145"/>
      <c r="I93" s="144">
        <f t="shared" si="64"/>
        <v>0</v>
      </c>
      <c r="J93" s="145"/>
      <c r="K93" s="144">
        <v>398.18</v>
      </c>
      <c r="L93" s="145"/>
      <c r="M93" s="144">
        <v>400</v>
      </c>
      <c r="N93" s="145"/>
      <c r="O93" s="188">
        <v>350</v>
      </c>
      <c r="P93" s="188"/>
      <c r="Q93" s="57" t="e">
        <f t="shared" ref="Q93:Q100" si="65">O93/I93*100</f>
        <v>#DIV/0!</v>
      </c>
      <c r="R93" s="57">
        <f t="shared" ref="R93:R100" si="66">O93/M93*100</f>
        <v>87.5</v>
      </c>
      <c r="S93" s="2"/>
    </row>
    <row r="94" spans="1:19" x14ac:dyDescent="0.25">
      <c r="A94" s="14">
        <v>3294</v>
      </c>
      <c r="B94" s="7" t="s">
        <v>102</v>
      </c>
      <c r="C94" s="7"/>
      <c r="D94" s="7"/>
      <c r="E94" s="7"/>
      <c r="F94" s="15"/>
      <c r="G94" s="144">
        <v>250</v>
      </c>
      <c r="H94" s="145"/>
      <c r="I94" s="144">
        <f t="shared" si="64"/>
        <v>33.180702103656515</v>
      </c>
      <c r="J94" s="145"/>
      <c r="K94" s="144">
        <v>66.37</v>
      </c>
      <c r="L94" s="145"/>
      <c r="M94" s="144">
        <v>70</v>
      </c>
      <c r="N94" s="145"/>
      <c r="O94" s="188"/>
      <c r="P94" s="188"/>
      <c r="Q94" s="57">
        <f t="shared" si="65"/>
        <v>0</v>
      </c>
      <c r="R94" s="57">
        <f t="shared" si="66"/>
        <v>0</v>
      </c>
      <c r="S94" s="2"/>
    </row>
    <row r="95" spans="1:19" x14ac:dyDescent="0.25">
      <c r="A95" s="14">
        <v>3295</v>
      </c>
      <c r="B95" s="7" t="s">
        <v>86</v>
      </c>
      <c r="C95" s="7"/>
      <c r="D95" s="7"/>
      <c r="E95" s="7"/>
      <c r="F95" s="15"/>
      <c r="G95" s="144">
        <v>6474.9</v>
      </c>
      <c r="H95" s="145"/>
      <c r="I95" s="144">
        <f t="shared" si="64"/>
        <v>859.36691220386217</v>
      </c>
      <c r="J95" s="145"/>
      <c r="K95" s="144">
        <v>2787.18</v>
      </c>
      <c r="L95" s="145"/>
      <c r="M95" s="144">
        <v>1700</v>
      </c>
      <c r="N95" s="145"/>
      <c r="O95" s="188">
        <v>824.43</v>
      </c>
      <c r="P95" s="188"/>
      <c r="Q95" s="57">
        <f t="shared" si="65"/>
        <v>95.934575591901037</v>
      </c>
      <c r="R95" s="57">
        <f t="shared" si="66"/>
        <v>48.495882352941173</v>
      </c>
      <c r="S95" s="2"/>
    </row>
    <row r="96" spans="1:19" x14ac:dyDescent="0.25">
      <c r="A96" s="14">
        <v>3296</v>
      </c>
      <c r="B96" s="7" t="s">
        <v>87</v>
      </c>
      <c r="C96" s="7"/>
      <c r="D96" s="7"/>
      <c r="E96" s="7"/>
      <c r="F96" s="15"/>
      <c r="G96" s="144"/>
      <c r="H96" s="145"/>
      <c r="I96" s="144">
        <f t="shared" si="64"/>
        <v>0</v>
      </c>
      <c r="J96" s="145"/>
      <c r="K96" s="144"/>
      <c r="L96" s="145"/>
      <c r="M96" s="144">
        <v>4130.78</v>
      </c>
      <c r="N96" s="145"/>
      <c r="O96" s="188">
        <v>4030.99</v>
      </c>
      <c r="P96" s="188"/>
      <c r="Q96" s="57" t="e">
        <f t="shared" si="65"/>
        <v>#DIV/0!</v>
      </c>
      <c r="R96" s="57">
        <f t="shared" si="66"/>
        <v>97.58423348616968</v>
      </c>
      <c r="S96" s="2"/>
    </row>
    <row r="97" spans="1:19" x14ac:dyDescent="0.25">
      <c r="A97" s="14">
        <v>3299</v>
      </c>
      <c r="B97" s="7" t="s">
        <v>81</v>
      </c>
      <c r="C97" s="7"/>
      <c r="D97" s="7"/>
      <c r="E97" s="7"/>
      <c r="F97" s="15"/>
      <c r="G97" s="144">
        <f>7799.3+3197.27+395.41+1726.26</f>
        <v>13118.24</v>
      </c>
      <c r="H97" s="145"/>
      <c r="I97" s="144">
        <f>G97/7.5345</f>
        <v>1741.089654257084</v>
      </c>
      <c r="J97" s="145"/>
      <c r="K97" s="144">
        <f>2766.33+929.06+2654.46</f>
        <v>6349.85</v>
      </c>
      <c r="L97" s="145"/>
      <c r="M97" s="144">
        <f>5530.08+265+7070.57+1630.47+10</f>
        <v>14506.119999999999</v>
      </c>
      <c r="N97" s="145"/>
      <c r="O97" s="188">
        <v>3463.45</v>
      </c>
      <c r="P97" s="188"/>
      <c r="Q97" s="57">
        <f t="shared" si="65"/>
        <v>198.92427661789995</v>
      </c>
      <c r="R97" s="57">
        <f t="shared" si="66"/>
        <v>23.875784841156701</v>
      </c>
      <c r="S97" s="2"/>
    </row>
    <row r="98" spans="1:19" x14ac:dyDescent="0.25">
      <c r="A98" s="21">
        <v>34</v>
      </c>
      <c r="B98" s="5" t="s">
        <v>88</v>
      </c>
      <c r="C98" s="5"/>
      <c r="D98" s="5"/>
      <c r="E98" s="5"/>
      <c r="F98" s="22"/>
      <c r="G98" s="158">
        <f>G99</f>
        <v>0</v>
      </c>
      <c r="H98" s="159"/>
      <c r="I98" s="158">
        <f>I99</f>
        <v>0</v>
      </c>
      <c r="J98" s="159"/>
      <c r="K98" s="158">
        <f t="shared" ref="K98:M106" si="67">K99</f>
        <v>0</v>
      </c>
      <c r="L98" s="159"/>
      <c r="M98" s="158">
        <f t="shared" si="67"/>
        <v>0</v>
      </c>
      <c r="N98" s="159"/>
      <c r="O98" s="158">
        <f t="shared" ref="O98:O106" si="68">O99</f>
        <v>4398.25</v>
      </c>
      <c r="P98" s="159"/>
      <c r="Q98" s="56" t="e">
        <f t="shared" si="65"/>
        <v>#DIV/0!</v>
      </c>
      <c r="R98" s="56" t="e">
        <f t="shared" si="66"/>
        <v>#DIV/0!</v>
      </c>
      <c r="S98" s="2"/>
    </row>
    <row r="99" spans="1:19" x14ac:dyDescent="0.25">
      <c r="A99" s="12">
        <v>343</v>
      </c>
      <c r="B99" s="4" t="s">
        <v>103</v>
      </c>
      <c r="C99" s="4"/>
      <c r="D99" s="4"/>
      <c r="E99" s="4"/>
      <c r="F99" s="13"/>
      <c r="G99" s="148">
        <f>G100</f>
        <v>0</v>
      </c>
      <c r="H99" s="149"/>
      <c r="I99" s="148">
        <f>I100</f>
        <v>0</v>
      </c>
      <c r="J99" s="149"/>
      <c r="K99" s="148">
        <f t="shared" si="67"/>
        <v>0</v>
      </c>
      <c r="L99" s="149"/>
      <c r="M99" s="148">
        <f t="shared" si="67"/>
        <v>0</v>
      </c>
      <c r="N99" s="149"/>
      <c r="O99" s="148">
        <f t="shared" si="68"/>
        <v>4398.25</v>
      </c>
      <c r="P99" s="149"/>
      <c r="Q99" s="57" t="e">
        <f t="shared" si="65"/>
        <v>#DIV/0!</v>
      </c>
      <c r="R99" s="57" t="e">
        <f t="shared" si="66"/>
        <v>#DIV/0!</v>
      </c>
      <c r="S99" s="2"/>
    </row>
    <row r="100" spans="1:19" x14ac:dyDescent="0.25">
      <c r="A100" s="17">
        <v>3433</v>
      </c>
      <c r="B100" s="8" t="s">
        <v>89</v>
      </c>
      <c r="C100" s="8"/>
      <c r="D100" s="8"/>
      <c r="E100" s="8"/>
      <c r="F100" s="32"/>
      <c r="G100" s="142"/>
      <c r="H100" s="143"/>
      <c r="I100" s="144">
        <f>G100/7.5345</f>
        <v>0</v>
      </c>
      <c r="J100" s="145"/>
      <c r="K100" s="142"/>
      <c r="L100" s="143"/>
      <c r="M100" s="142"/>
      <c r="N100" s="143"/>
      <c r="O100" s="142">
        <v>4398.25</v>
      </c>
      <c r="P100" s="143"/>
      <c r="Q100" s="57" t="e">
        <f t="shared" si="65"/>
        <v>#DIV/0!</v>
      </c>
      <c r="R100" s="57" t="e">
        <f t="shared" si="66"/>
        <v>#DIV/0!</v>
      </c>
      <c r="S100" s="2"/>
    </row>
    <row r="101" spans="1:19" x14ac:dyDescent="0.25">
      <c r="A101" s="10">
        <v>37</v>
      </c>
      <c r="B101" s="150" t="s">
        <v>177</v>
      </c>
      <c r="C101" s="150"/>
      <c r="D101" s="150"/>
      <c r="E101" s="150"/>
      <c r="F101" s="151"/>
      <c r="G101" s="154">
        <f>G103</f>
        <v>0</v>
      </c>
      <c r="H101" s="155"/>
      <c r="I101" s="154">
        <f>I103</f>
        <v>0</v>
      </c>
      <c r="J101" s="155"/>
      <c r="K101" s="154">
        <f>K103</f>
        <v>0</v>
      </c>
      <c r="L101" s="155"/>
      <c r="M101" s="154">
        <f>M103</f>
        <v>0</v>
      </c>
      <c r="N101" s="155"/>
      <c r="O101" s="154">
        <f>O103</f>
        <v>0</v>
      </c>
      <c r="P101" s="155"/>
      <c r="Q101" s="146" t="e">
        <f t="shared" ref="Q101:Q104" si="69">O101/I101*100</f>
        <v>#DIV/0!</v>
      </c>
      <c r="R101" s="146" t="e">
        <f t="shared" ref="R101:R104" si="70">O101/M101*100</f>
        <v>#DIV/0!</v>
      </c>
      <c r="S101" s="2"/>
    </row>
    <row r="102" spans="1:19" x14ac:dyDescent="0.25">
      <c r="A102" s="43"/>
      <c r="B102" s="152"/>
      <c r="C102" s="152"/>
      <c r="D102" s="152"/>
      <c r="E102" s="152"/>
      <c r="F102" s="153"/>
      <c r="G102" s="156"/>
      <c r="H102" s="157"/>
      <c r="I102" s="156"/>
      <c r="J102" s="157"/>
      <c r="K102" s="156"/>
      <c r="L102" s="157"/>
      <c r="M102" s="156"/>
      <c r="N102" s="157"/>
      <c r="O102" s="156"/>
      <c r="P102" s="157"/>
      <c r="Q102" s="147"/>
      <c r="R102" s="147"/>
      <c r="S102" s="2"/>
    </row>
    <row r="103" spans="1:19" x14ac:dyDescent="0.25">
      <c r="A103" s="12">
        <v>372</v>
      </c>
      <c r="B103" s="4" t="s">
        <v>178</v>
      </c>
      <c r="C103" s="4"/>
      <c r="D103" s="4"/>
      <c r="E103" s="4"/>
      <c r="F103" s="13"/>
      <c r="G103" s="148">
        <f t="shared" ref="G103:I103" si="71">G104+G105</f>
        <v>0</v>
      </c>
      <c r="H103" s="149"/>
      <c r="I103" s="148">
        <f t="shared" si="71"/>
        <v>0</v>
      </c>
      <c r="J103" s="149"/>
      <c r="K103" s="148">
        <f t="shared" ref="K103" si="72">K104+K105</f>
        <v>0</v>
      </c>
      <c r="L103" s="149"/>
      <c r="M103" s="148">
        <f t="shared" ref="M103" si="73">M104+M105</f>
        <v>0</v>
      </c>
      <c r="N103" s="149"/>
      <c r="O103" s="148">
        <f>O104+O105</f>
        <v>0</v>
      </c>
      <c r="P103" s="149"/>
      <c r="Q103" s="57" t="e">
        <f t="shared" si="69"/>
        <v>#DIV/0!</v>
      </c>
      <c r="R103" s="57" t="e">
        <f t="shared" si="70"/>
        <v>#DIV/0!</v>
      </c>
      <c r="S103" s="2"/>
    </row>
    <row r="104" spans="1:19" x14ac:dyDescent="0.25">
      <c r="A104" s="17">
        <v>3721</v>
      </c>
      <c r="B104" s="8" t="s">
        <v>179</v>
      </c>
      <c r="C104" s="8"/>
      <c r="D104" s="8"/>
      <c r="E104" s="8"/>
      <c r="F104" s="32"/>
      <c r="G104" s="142"/>
      <c r="H104" s="143"/>
      <c r="I104" s="144">
        <f>G104/7.5345</f>
        <v>0</v>
      </c>
      <c r="J104" s="145"/>
      <c r="K104" s="142"/>
      <c r="L104" s="143"/>
      <c r="M104" s="142"/>
      <c r="N104" s="143"/>
      <c r="O104" s="142"/>
      <c r="P104" s="143"/>
      <c r="Q104" s="57" t="e">
        <f t="shared" si="69"/>
        <v>#DIV/0!</v>
      </c>
      <c r="R104" s="57" t="e">
        <f t="shared" si="70"/>
        <v>#DIV/0!</v>
      </c>
      <c r="S104" s="2"/>
    </row>
    <row r="105" spans="1:19" x14ac:dyDescent="0.25">
      <c r="A105" s="17">
        <v>3722</v>
      </c>
      <c r="B105" s="8" t="s">
        <v>184</v>
      </c>
      <c r="C105" s="8"/>
      <c r="D105" s="8"/>
      <c r="E105" s="8"/>
      <c r="F105" s="32"/>
      <c r="G105" s="142"/>
      <c r="H105" s="143"/>
      <c r="I105" s="144">
        <f>G105/7.5345</f>
        <v>0</v>
      </c>
      <c r="J105" s="145"/>
      <c r="K105" s="142"/>
      <c r="L105" s="143"/>
      <c r="M105" s="142"/>
      <c r="N105" s="143"/>
      <c r="O105" s="142"/>
      <c r="P105" s="143"/>
      <c r="Q105" s="57" t="e">
        <f t="shared" ref="Q105" si="74">O105/I105*100</f>
        <v>#DIV/0!</v>
      </c>
      <c r="R105" s="57" t="e">
        <f t="shared" ref="R105" si="75">O105/M105*100</f>
        <v>#DIV/0!</v>
      </c>
      <c r="S105" s="2"/>
    </row>
    <row r="106" spans="1:19" x14ac:dyDescent="0.25">
      <c r="A106" s="21">
        <v>38</v>
      </c>
      <c r="B106" s="5" t="s">
        <v>180</v>
      </c>
      <c r="C106" s="5"/>
      <c r="D106" s="5"/>
      <c r="E106" s="5"/>
      <c r="F106" s="22"/>
      <c r="G106" s="158">
        <f>G107</f>
        <v>1500</v>
      </c>
      <c r="H106" s="159"/>
      <c r="I106" s="158">
        <f>I107</f>
        <v>199.08421262193906</v>
      </c>
      <c r="J106" s="159"/>
      <c r="K106" s="158">
        <f t="shared" si="67"/>
        <v>0</v>
      </c>
      <c r="L106" s="159"/>
      <c r="M106" s="158">
        <f t="shared" si="67"/>
        <v>1427.2</v>
      </c>
      <c r="N106" s="159"/>
      <c r="O106" s="158">
        <f t="shared" si="68"/>
        <v>1427.2</v>
      </c>
      <c r="P106" s="159"/>
      <c r="Q106" s="57">
        <f t="shared" ref="Q106:Q108" si="76">O106/I106*100</f>
        <v>716.88256000000013</v>
      </c>
      <c r="R106" s="57">
        <f t="shared" ref="R106:R108" si="77">O106/M106*100</f>
        <v>100</v>
      </c>
      <c r="S106" s="2"/>
    </row>
    <row r="107" spans="1:19" x14ac:dyDescent="0.25">
      <c r="A107" s="12">
        <v>381</v>
      </c>
      <c r="B107" s="4" t="s">
        <v>39</v>
      </c>
      <c r="C107" s="4"/>
      <c r="D107" s="4"/>
      <c r="E107" s="4"/>
      <c r="F107" s="13"/>
      <c r="G107" s="148">
        <f>G108+G109</f>
        <v>1500</v>
      </c>
      <c r="H107" s="149"/>
      <c r="I107" s="148">
        <f t="shared" ref="I107" si="78">I108+I109</f>
        <v>199.08421262193906</v>
      </c>
      <c r="J107" s="149"/>
      <c r="K107" s="148">
        <f t="shared" ref="K107" si="79">K108+K109</f>
        <v>0</v>
      </c>
      <c r="L107" s="149"/>
      <c r="M107" s="148">
        <f t="shared" ref="M107" si="80">M108+M109</f>
        <v>1427.2</v>
      </c>
      <c r="N107" s="149"/>
      <c r="O107" s="148">
        <f t="shared" ref="O107" si="81">O108+O109</f>
        <v>1427.2</v>
      </c>
      <c r="P107" s="149"/>
      <c r="Q107" s="57">
        <f t="shared" si="76"/>
        <v>716.88256000000013</v>
      </c>
      <c r="R107" s="57">
        <f t="shared" si="77"/>
        <v>100</v>
      </c>
      <c r="S107" s="2"/>
    </row>
    <row r="108" spans="1:19" x14ac:dyDescent="0.25">
      <c r="A108" s="17">
        <v>3811</v>
      </c>
      <c r="B108" s="8" t="s">
        <v>181</v>
      </c>
      <c r="C108" s="8"/>
      <c r="D108" s="8"/>
      <c r="E108" s="8"/>
      <c r="F108" s="32"/>
      <c r="G108" s="142">
        <v>1500</v>
      </c>
      <c r="H108" s="143"/>
      <c r="I108" s="144">
        <f>G108/7.5345</f>
        <v>199.08421262193906</v>
      </c>
      <c r="J108" s="145"/>
      <c r="K108" s="142"/>
      <c r="L108" s="143"/>
      <c r="M108" s="142"/>
      <c r="N108" s="143"/>
      <c r="O108" s="142"/>
      <c r="P108" s="143"/>
      <c r="Q108" s="57">
        <f t="shared" si="76"/>
        <v>0</v>
      </c>
      <c r="R108" s="57" t="e">
        <f t="shared" si="77"/>
        <v>#DIV/0!</v>
      </c>
      <c r="S108" s="2"/>
    </row>
    <row r="109" spans="1:19" x14ac:dyDescent="0.25">
      <c r="A109" s="17">
        <v>3812</v>
      </c>
      <c r="B109" s="8" t="s">
        <v>205</v>
      </c>
      <c r="C109" s="8"/>
      <c r="D109" s="8"/>
      <c r="E109" s="8"/>
      <c r="F109" s="32"/>
      <c r="G109" s="142"/>
      <c r="H109" s="143"/>
      <c r="I109" s="144">
        <f>G109/7.5345</f>
        <v>0</v>
      </c>
      <c r="J109" s="145"/>
      <c r="K109" s="142"/>
      <c r="L109" s="143"/>
      <c r="M109" s="142">
        <v>1427.2</v>
      </c>
      <c r="N109" s="143"/>
      <c r="O109" s="142">
        <v>1427.2</v>
      </c>
      <c r="P109" s="143"/>
      <c r="Q109" s="57" t="e">
        <f t="shared" ref="Q109" si="82">O109/I109*100</f>
        <v>#DIV/0!</v>
      </c>
      <c r="R109" s="57">
        <f t="shared" ref="R109" si="83">O109/M109*100</f>
        <v>100</v>
      </c>
      <c r="S109" s="2"/>
    </row>
    <row r="110" spans="1:19" x14ac:dyDescent="0.25">
      <c r="A110" s="19">
        <v>4</v>
      </c>
      <c r="B110" s="193" t="s">
        <v>97</v>
      </c>
      <c r="C110" s="193"/>
      <c r="D110" s="193"/>
      <c r="E110" s="193"/>
      <c r="F110" s="194"/>
      <c r="G110" s="186">
        <f>G111</f>
        <v>60638.23</v>
      </c>
      <c r="H110" s="187"/>
      <c r="I110" s="186">
        <f t="shared" ref="I110" si="84">I111</f>
        <v>8048.0761828920304</v>
      </c>
      <c r="J110" s="187"/>
      <c r="K110" s="186">
        <f t="shared" ref="K110" si="85">K111</f>
        <v>2787.19</v>
      </c>
      <c r="L110" s="187"/>
      <c r="M110" s="186">
        <f t="shared" ref="M110" si="86">M111</f>
        <v>4800</v>
      </c>
      <c r="N110" s="187"/>
      <c r="O110" s="186">
        <f t="shared" ref="O110" si="87">O111</f>
        <v>0</v>
      </c>
      <c r="P110" s="187"/>
      <c r="Q110" s="59">
        <f>O110/I110*100</f>
        <v>0</v>
      </c>
      <c r="R110" s="59">
        <f>O110/M110*100</f>
        <v>0</v>
      </c>
      <c r="S110" s="2"/>
    </row>
    <row r="111" spans="1:19" x14ac:dyDescent="0.25">
      <c r="A111" s="21">
        <v>42</v>
      </c>
      <c r="B111" s="5" t="s">
        <v>90</v>
      </c>
      <c r="C111" s="5"/>
      <c r="D111" s="5"/>
      <c r="E111" s="5"/>
      <c r="F111" s="22"/>
      <c r="G111" s="158">
        <f>G112+G118</f>
        <v>60638.23</v>
      </c>
      <c r="H111" s="159"/>
      <c r="I111" s="158">
        <f>I112+I118</f>
        <v>8048.0761828920304</v>
      </c>
      <c r="J111" s="159"/>
      <c r="K111" s="158">
        <f t="shared" ref="K111" si="88">K112+K118</f>
        <v>2787.19</v>
      </c>
      <c r="L111" s="159"/>
      <c r="M111" s="158">
        <f>M112+M118</f>
        <v>4800</v>
      </c>
      <c r="N111" s="159"/>
      <c r="O111" s="158">
        <f t="shared" ref="O111" si="89">O112+O118</f>
        <v>0</v>
      </c>
      <c r="P111" s="159"/>
      <c r="Q111" s="56">
        <f t="shared" ref="Q111:Q119" si="90">O111/I111*100</f>
        <v>0</v>
      </c>
      <c r="R111" s="56">
        <f t="shared" ref="R111:R119" si="91">O111/M111*100</f>
        <v>0</v>
      </c>
      <c r="S111" s="2"/>
    </row>
    <row r="112" spans="1:19" x14ac:dyDescent="0.25">
      <c r="A112" s="12">
        <v>422</v>
      </c>
      <c r="B112" s="4" t="s">
        <v>91</v>
      </c>
      <c r="C112" s="4"/>
      <c r="D112" s="4"/>
      <c r="E112" s="4"/>
      <c r="F112" s="13"/>
      <c r="G112" s="148">
        <f>G113+G114+G115+G116+G117</f>
        <v>60638.23</v>
      </c>
      <c r="H112" s="149"/>
      <c r="I112" s="148">
        <f>I113+I114+I115+I116+I117</f>
        <v>8048.0761828920304</v>
      </c>
      <c r="J112" s="149"/>
      <c r="K112" s="148">
        <f t="shared" ref="K112:M112" si="92">K113+K114+K115+K116+K117</f>
        <v>1858.13</v>
      </c>
      <c r="L112" s="149"/>
      <c r="M112" s="148">
        <f t="shared" si="92"/>
        <v>2800</v>
      </c>
      <c r="N112" s="149"/>
      <c r="O112" s="148">
        <f t="shared" ref="O112" si="93">O113+O114+O115+O116+O117</f>
        <v>0</v>
      </c>
      <c r="P112" s="149"/>
      <c r="Q112" s="57">
        <f t="shared" si="90"/>
        <v>0</v>
      </c>
      <c r="R112" s="57">
        <f t="shared" si="91"/>
        <v>0</v>
      </c>
      <c r="S112" s="2"/>
    </row>
    <row r="113" spans="1:21" x14ac:dyDescent="0.25">
      <c r="A113" s="14">
        <v>4221</v>
      </c>
      <c r="B113" s="7" t="s">
        <v>104</v>
      </c>
      <c r="C113" s="7"/>
      <c r="D113" s="7"/>
      <c r="E113" s="7"/>
      <c r="F113" s="15"/>
      <c r="G113" s="144">
        <v>60638.23</v>
      </c>
      <c r="H113" s="145"/>
      <c r="I113" s="144">
        <f t="shared" ref="I113:I117" si="94">G113/7.5345</f>
        <v>8048.0761828920304</v>
      </c>
      <c r="J113" s="145"/>
      <c r="K113" s="144">
        <f>796.34+1061.79</f>
        <v>1858.13</v>
      </c>
      <c r="L113" s="145"/>
      <c r="M113" s="144">
        <v>2800</v>
      </c>
      <c r="N113" s="145"/>
      <c r="O113" s="144"/>
      <c r="P113" s="145"/>
      <c r="Q113" s="57">
        <f t="shared" si="90"/>
        <v>0</v>
      </c>
      <c r="R113" s="57">
        <f t="shared" si="91"/>
        <v>0</v>
      </c>
      <c r="S113" s="2"/>
    </row>
    <row r="114" spans="1:21" x14ac:dyDescent="0.25">
      <c r="A114" s="14">
        <v>4222</v>
      </c>
      <c r="B114" s="7" t="s">
        <v>105</v>
      </c>
      <c r="C114" s="7"/>
      <c r="D114" s="7"/>
      <c r="E114" s="7"/>
      <c r="F114" s="15"/>
      <c r="G114" s="144"/>
      <c r="H114" s="145"/>
      <c r="I114" s="144">
        <f t="shared" si="94"/>
        <v>0</v>
      </c>
      <c r="J114" s="145"/>
      <c r="K114" s="144"/>
      <c r="L114" s="145"/>
      <c r="M114" s="144"/>
      <c r="N114" s="145"/>
      <c r="O114" s="144"/>
      <c r="P114" s="145"/>
      <c r="Q114" s="57" t="e">
        <f t="shared" si="90"/>
        <v>#DIV/0!</v>
      </c>
      <c r="R114" s="57" t="e">
        <f t="shared" si="91"/>
        <v>#DIV/0!</v>
      </c>
      <c r="S114" s="2"/>
    </row>
    <row r="115" spans="1:21" x14ac:dyDescent="0.25">
      <c r="A115" s="14">
        <v>4223</v>
      </c>
      <c r="B115" s="7" t="s">
        <v>92</v>
      </c>
      <c r="C115" s="7"/>
      <c r="D115" s="7"/>
      <c r="E115" s="7"/>
      <c r="F115" s="15"/>
      <c r="G115" s="144"/>
      <c r="H115" s="145"/>
      <c r="I115" s="144">
        <f t="shared" si="94"/>
        <v>0</v>
      </c>
      <c r="J115" s="145"/>
      <c r="K115" s="144"/>
      <c r="L115" s="145"/>
      <c r="M115" s="144"/>
      <c r="N115" s="145"/>
      <c r="O115" s="144"/>
      <c r="P115" s="145"/>
      <c r="Q115" s="57" t="e">
        <f t="shared" si="90"/>
        <v>#DIV/0!</v>
      </c>
      <c r="R115" s="57" t="e">
        <f t="shared" si="91"/>
        <v>#DIV/0!</v>
      </c>
      <c r="S115" s="2"/>
    </row>
    <row r="116" spans="1:21" x14ac:dyDescent="0.25">
      <c r="A116" s="14">
        <v>4225</v>
      </c>
      <c r="B116" s="7" t="s">
        <v>93</v>
      </c>
      <c r="C116" s="7"/>
      <c r="D116" s="7"/>
      <c r="E116" s="7"/>
      <c r="F116" s="15"/>
      <c r="G116" s="144"/>
      <c r="H116" s="145"/>
      <c r="I116" s="144">
        <f t="shared" si="94"/>
        <v>0</v>
      </c>
      <c r="J116" s="145"/>
      <c r="K116" s="144"/>
      <c r="L116" s="145"/>
      <c r="M116" s="144"/>
      <c r="N116" s="145"/>
      <c r="O116" s="144"/>
      <c r="P116" s="145"/>
      <c r="Q116" s="57" t="e">
        <f t="shared" si="90"/>
        <v>#DIV/0!</v>
      </c>
      <c r="R116" s="57" t="e">
        <f t="shared" si="91"/>
        <v>#DIV/0!</v>
      </c>
      <c r="S116" s="2"/>
    </row>
    <row r="117" spans="1:21" x14ac:dyDescent="0.25">
      <c r="A117" s="14">
        <v>4227</v>
      </c>
      <c r="B117" s="7" t="s">
        <v>94</v>
      </c>
      <c r="C117" s="7"/>
      <c r="D117" s="7"/>
      <c r="E117" s="7"/>
      <c r="F117" s="15"/>
      <c r="G117" s="144"/>
      <c r="H117" s="145"/>
      <c r="I117" s="144">
        <f t="shared" si="94"/>
        <v>0</v>
      </c>
      <c r="J117" s="145"/>
      <c r="K117" s="144"/>
      <c r="L117" s="145"/>
      <c r="M117" s="144"/>
      <c r="N117" s="145"/>
      <c r="O117" s="144"/>
      <c r="P117" s="145"/>
      <c r="Q117" s="57" t="e">
        <f t="shared" si="90"/>
        <v>#DIV/0!</v>
      </c>
      <c r="R117" s="57" t="e">
        <f t="shared" si="91"/>
        <v>#DIV/0!</v>
      </c>
      <c r="S117" s="2"/>
    </row>
    <row r="118" spans="1:21" x14ac:dyDescent="0.25">
      <c r="A118" s="12">
        <v>424</v>
      </c>
      <c r="B118" s="4" t="s">
        <v>95</v>
      </c>
      <c r="C118" s="4"/>
      <c r="D118" s="4"/>
      <c r="E118" s="4"/>
      <c r="F118" s="13"/>
      <c r="G118" s="148">
        <f>G119</f>
        <v>0</v>
      </c>
      <c r="H118" s="149"/>
      <c r="I118" s="148">
        <f>I119</f>
        <v>0</v>
      </c>
      <c r="J118" s="149"/>
      <c r="K118" s="148">
        <f t="shared" ref="K118:M118" si="95">K119</f>
        <v>929.06</v>
      </c>
      <c r="L118" s="149"/>
      <c r="M118" s="148">
        <f t="shared" si="95"/>
        <v>2000</v>
      </c>
      <c r="N118" s="149"/>
      <c r="O118" s="148">
        <f t="shared" ref="O118" si="96">O119</f>
        <v>0</v>
      </c>
      <c r="P118" s="149"/>
      <c r="Q118" s="57" t="e">
        <f t="shared" si="90"/>
        <v>#DIV/0!</v>
      </c>
      <c r="R118" s="57">
        <f t="shared" si="91"/>
        <v>0</v>
      </c>
      <c r="S118" s="2"/>
      <c r="U118" s="37"/>
    </row>
    <row r="119" spans="1:21" ht="15.75" thickBot="1" x14ac:dyDescent="0.3">
      <c r="A119" s="33">
        <v>4241</v>
      </c>
      <c r="B119" s="34" t="s">
        <v>96</v>
      </c>
      <c r="C119" s="34"/>
      <c r="D119" s="34"/>
      <c r="E119" s="34"/>
      <c r="F119" s="35"/>
      <c r="G119" s="184"/>
      <c r="H119" s="185"/>
      <c r="I119" s="144">
        <f>G119/7.5345</f>
        <v>0</v>
      </c>
      <c r="J119" s="145"/>
      <c r="K119" s="184">
        <v>929.06</v>
      </c>
      <c r="L119" s="185"/>
      <c r="M119" s="184">
        <v>2000</v>
      </c>
      <c r="N119" s="185"/>
      <c r="O119" s="184"/>
      <c r="P119" s="185"/>
      <c r="Q119" s="57" t="e">
        <f t="shared" si="90"/>
        <v>#DIV/0!</v>
      </c>
      <c r="R119" s="57">
        <f t="shared" si="91"/>
        <v>0</v>
      </c>
      <c r="S119" s="2"/>
    </row>
    <row r="120" spans="1:21" ht="15.75" thickBot="1" x14ac:dyDescent="0.3">
      <c r="A120" s="189" t="s">
        <v>55</v>
      </c>
      <c r="B120" s="189" t="s">
        <v>55</v>
      </c>
      <c r="C120" s="189"/>
      <c r="D120" s="189"/>
      <c r="E120" s="189"/>
      <c r="F120" s="189"/>
      <c r="G120" s="190">
        <f>G57+G110</f>
        <v>5965679.3500000006</v>
      </c>
      <c r="H120" s="190"/>
      <c r="I120" s="190">
        <f>I57+I110</f>
        <v>791781.71743314085</v>
      </c>
      <c r="J120" s="190"/>
      <c r="K120" s="190">
        <f>K57+K110</f>
        <v>1552330.5299999998</v>
      </c>
      <c r="L120" s="190"/>
      <c r="M120" s="190">
        <f>M57+M110</f>
        <v>1789168.89</v>
      </c>
      <c r="N120" s="190"/>
      <c r="O120" s="190">
        <f>O57+O110</f>
        <v>916085.07999999984</v>
      </c>
      <c r="P120" s="190"/>
      <c r="Q120" s="76">
        <f t="shared" ref="Q120" si="97">O120/I120*100</f>
        <v>115.69919585537227</v>
      </c>
      <c r="R120" s="76">
        <f>O120/M120*100</f>
        <v>51.201710756327756</v>
      </c>
      <c r="S120" s="2"/>
    </row>
    <row r="121" spans="1:2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U121" s="37"/>
    </row>
    <row r="123" spans="1:21" x14ac:dyDescent="0.25">
      <c r="M123" s="37"/>
      <c r="U123" s="37"/>
    </row>
  </sheetData>
  <customSheetViews>
    <customSheetView guid="{005C429F-8448-44DF-83AD-8A930973E873}">
      <selection activeCell="G12" sqref="G12:L12"/>
      <rowBreaks count="1" manualBreakCount="1">
        <brk id="57" max="16383" man="1"/>
      </rowBreaks>
      <pageMargins left="0.7" right="0.7" top="0.75" bottom="0.75" header="0.3" footer="0.3"/>
      <pageSetup paperSize="9" scale="71" orientation="portrait" r:id="rId1"/>
    </customSheetView>
  </customSheetViews>
  <mergeCells count="529">
    <mergeCell ref="G116:H116"/>
    <mergeCell ref="G117:H117"/>
    <mergeCell ref="G118:H118"/>
    <mergeCell ref="G119:H119"/>
    <mergeCell ref="G120:H120"/>
    <mergeCell ref="G110:H110"/>
    <mergeCell ref="G111:H111"/>
    <mergeCell ref="G112:H112"/>
    <mergeCell ref="G113:H113"/>
    <mergeCell ref="G114:H114"/>
    <mergeCell ref="G115:H115"/>
    <mergeCell ref="G98:H98"/>
    <mergeCell ref="G99:H99"/>
    <mergeCell ref="G100:H100"/>
    <mergeCell ref="G101:H102"/>
    <mergeCell ref="G103:H103"/>
    <mergeCell ref="G104:H104"/>
    <mergeCell ref="G105:H105"/>
    <mergeCell ref="G106:H106"/>
    <mergeCell ref="G107:H107"/>
    <mergeCell ref="G88:H88"/>
    <mergeCell ref="G89:H89"/>
    <mergeCell ref="G90:H91"/>
    <mergeCell ref="G92:H92"/>
    <mergeCell ref="G93:H93"/>
    <mergeCell ref="G94:H94"/>
    <mergeCell ref="G95:H95"/>
    <mergeCell ref="G96:H96"/>
    <mergeCell ref="G97:H97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60:H60"/>
    <mergeCell ref="G61:H61"/>
    <mergeCell ref="G62:H62"/>
    <mergeCell ref="G63:H63"/>
    <mergeCell ref="G64:H64"/>
    <mergeCell ref="G66:H66"/>
    <mergeCell ref="G67:H67"/>
    <mergeCell ref="G68:H68"/>
    <mergeCell ref="G69:H69"/>
    <mergeCell ref="G65:H65"/>
    <mergeCell ref="G49:H50"/>
    <mergeCell ref="G51:H51"/>
    <mergeCell ref="G52:H52"/>
    <mergeCell ref="G53:H53"/>
    <mergeCell ref="G54:H54"/>
    <mergeCell ref="G55:H55"/>
    <mergeCell ref="G57:H57"/>
    <mergeCell ref="G58:H58"/>
    <mergeCell ref="G59:H59"/>
    <mergeCell ref="G34:H35"/>
    <mergeCell ref="G36:H37"/>
    <mergeCell ref="G38:H38"/>
    <mergeCell ref="G39:H39"/>
    <mergeCell ref="G40:H41"/>
    <mergeCell ref="G42:H42"/>
    <mergeCell ref="G43:H44"/>
    <mergeCell ref="G45:H46"/>
    <mergeCell ref="G47:H48"/>
    <mergeCell ref="G20:H21"/>
    <mergeCell ref="G22:H22"/>
    <mergeCell ref="G23:H23"/>
    <mergeCell ref="G24:H25"/>
    <mergeCell ref="G26:H27"/>
    <mergeCell ref="G28:H29"/>
    <mergeCell ref="G30:H31"/>
    <mergeCell ref="G32:H32"/>
    <mergeCell ref="G33:H33"/>
    <mergeCell ref="K117:L117"/>
    <mergeCell ref="K118:L118"/>
    <mergeCell ref="K119:L119"/>
    <mergeCell ref="K120:L120"/>
    <mergeCell ref="K110:L110"/>
    <mergeCell ref="K111:L111"/>
    <mergeCell ref="K112:L112"/>
    <mergeCell ref="K113:L113"/>
    <mergeCell ref="K114:L114"/>
    <mergeCell ref="K115:L115"/>
    <mergeCell ref="K82:L82"/>
    <mergeCell ref="K83:L83"/>
    <mergeCell ref="K84:L84"/>
    <mergeCell ref="K85:L85"/>
    <mergeCell ref="K86:L86"/>
    <mergeCell ref="K87:L87"/>
    <mergeCell ref="K88:L88"/>
    <mergeCell ref="K89:L89"/>
    <mergeCell ref="K90:L91"/>
    <mergeCell ref="K61:L61"/>
    <mergeCell ref="K62:L62"/>
    <mergeCell ref="K63:L63"/>
    <mergeCell ref="K64:L64"/>
    <mergeCell ref="K66:L66"/>
    <mergeCell ref="K67:L67"/>
    <mergeCell ref="K68:L68"/>
    <mergeCell ref="K69:L69"/>
    <mergeCell ref="K70:L70"/>
    <mergeCell ref="K51:L51"/>
    <mergeCell ref="K52:L52"/>
    <mergeCell ref="K53:L53"/>
    <mergeCell ref="K54:L54"/>
    <mergeCell ref="K55:L55"/>
    <mergeCell ref="K57:L57"/>
    <mergeCell ref="K58:L58"/>
    <mergeCell ref="K59:L59"/>
    <mergeCell ref="K60:L60"/>
    <mergeCell ref="K36:L37"/>
    <mergeCell ref="K38:L38"/>
    <mergeCell ref="K39:L39"/>
    <mergeCell ref="K40:L41"/>
    <mergeCell ref="K42:L42"/>
    <mergeCell ref="K43:L44"/>
    <mergeCell ref="K45:L46"/>
    <mergeCell ref="K47:L48"/>
    <mergeCell ref="K49:L50"/>
    <mergeCell ref="K22:L22"/>
    <mergeCell ref="K23:L23"/>
    <mergeCell ref="K24:L25"/>
    <mergeCell ref="K26:L27"/>
    <mergeCell ref="K28:L29"/>
    <mergeCell ref="K30:L31"/>
    <mergeCell ref="K32:L32"/>
    <mergeCell ref="K33:L33"/>
    <mergeCell ref="K34:L35"/>
    <mergeCell ref="K8:L9"/>
    <mergeCell ref="K10:L10"/>
    <mergeCell ref="K11:L11"/>
    <mergeCell ref="K12:L13"/>
    <mergeCell ref="K14:L14"/>
    <mergeCell ref="K15:L15"/>
    <mergeCell ref="K16:L17"/>
    <mergeCell ref="K18:L19"/>
    <mergeCell ref="K20:L21"/>
    <mergeCell ref="A10:F10"/>
    <mergeCell ref="A8:F9"/>
    <mergeCell ref="I11:J11"/>
    <mergeCell ref="B49:F50"/>
    <mergeCell ref="B43:F44"/>
    <mergeCell ref="B40:F41"/>
    <mergeCell ref="B36:F37"/>
    <mergeCell ref="B30:F31"/>
    <mergeCell ref="B11:F11"/>
    <mergeCell ref="B12:F13"/>
    <mergeCell ref="B16:F17"/>
    <mergeCell ref="B18:F19"/>
    <mergeCell ref="B20:F21"/>
    <mergeCell ref="B45:F46"/>
    <mergeCell ref="B47:F48"/>
    <mergeCell ref="B24:F25"/>
    <mergeCell ref="G8:H9"/>
    <mergeCell ref="G10:H10"/>
    <mergeCell ref="G11:H11"/>
    <mergeCell ref="G12:H13"/>
    <mergeCell ref="G14:H14"/>
    <mergeCell ref="G15:H15"/>
    <mergeCell ref="G16:H17"/>
    <mergeCell ref="G18:H19"/>
    <mergeCell ref="I54:J54"/>
    <mergeCell ref="I10:J10"/>
    <mergeCell ref="I12:J13"/>
    <mergeCell ref="I14:J14"/>
    <mergeCell ref="I43:J44"/>
    <mergeCell ref="I45:J46"/>
    <mergeCell ref="I47:J48"/>
    <mergeCell ref="I49:J50"/>
    <mergeCell ref="I22:J22"/>
    <mergeCell ref="I23:J23"/>
    <mergeCell ref="I32:J32"/>
    <mergeCell ref="I33:J33"/>
    <mergeCell ref="I38:J38"/>
    <mergeCell ref="I39:J39"/>
    <mergeCell ref="I16:J17"/>
    <mergeCell ref="I18:J19"/>
    <mergeCell ref="I20:J21"/>
    <mergeCell ref="I30:J31"/>
    <mergeCell ref="I36:J37"/>
    <mergeCell ref="I40:J41"/>
    <mergeCell ref="I24:J25"/>
    <mergeCell ref="M10:N10"/>
    <mergeCell ref="O10:P10"/>
    <mergeCell ref="I8:J9"/>
    <mergeCell ref="M8:N9"/>
    <mergeCell ref="O8:P9"/>
    <mergeCell ref="I42:J42"/>
    <mergeCell ref="I51:J51"/>
    <mergeCell ref="I52:J52"/>
    <mergeCell ref="I53:J53"/>
    <mergeCell ref="M18:N19"/>
    <mergeCell ref="O18:P19"/>
    <mergeCell ref="M20:N21"/>
    <mergeCell ref="O20:P21"/>
    <mergeCell ref="M15:N15"/>
    <mergeCell ref="O15:P15"/>
    <mergeCell ref="M16:N17"/>
    <mergeCell ref="O16:P17"/>
    <mergeCell ref="M12:N13"/>
    <mergeCell ref="O12:P13"/>
    <mergeCell ref="M14:N14"/>
    <mergeCell ref="O14:P14"/>
    <mergeCell ref="O33:P33"/>
    <mergeCell ref="M36:N37"/>
    <mergeCell ref="O36:P37"/>
    <mergeCell ref="M22:N22"/>
    <mergeCell ref="O22:P22"/>
    <mergeCell ref="M23:N23"/>
    <mergeCell ref="O23:P23"/>
    <mergeCell ref="M54:N54"/>
    <mergeCell ref="O54:P54"/>
    <mergeCell ref="M51:N51"/>
    <mergeCell ref="O51:P51"/>
    <mergeCell ref="M52:N52"/>
    <mergeCell ref="O52:P52"/>
    <mergeCell ref="M47:N48"/>
    <mergeCell ref="O47:P48"/>
    <mergeCell ref="M49:N50"/>
    <mergeCell ref="O49:P50"/>
    <mergeCell ref="M24:N25"/>
    <mergeCell ref="O24:P25"/>
    <mergeCell ref="O11:P11"/>
    <mergeCell ref="Q12:Q13"/>
    <mergeCell ref="R12:R13"/>
    <mergeCell ref="Q16:Q17"/>
    <mergeCell ref="Q18:Q19"/>
    <mergeCell ref="Q20:Q21"/>
    <mergeCell ref="Q30:Q31"/>
    <mergeCell ref="Q36:Q37"/>
    <mergeCell ref="M53:N53"/>
    <mergeCell ref="O53:P53"/>
    <mergeCell ref="M43:N44"/>
    <mergeCell ref="O43:P44"/>
    <mergeCell ref="M45:N46"/>
    <mergeCell ref="O45:P46"/>
    <mergeCell ref="M40:N41"/>
    <mergeCell ref="O40:P41"/>
    <mergeCell ref="M42:N42"/>
    <mergeCell ref="O42:P42"/>
    <mergeCell ref="Q40:Q41"/>
    <mergeCell ref="M38:N38"/>
    <mergeCell ref="O38:P38"/>
    <mergeCell ref="M39:N39"/>
    <mergeCell ref="O39:P39"/>
    <mergeCell ref="M33:N33"/>
    <mergeCell ref="B57:F57"/>
    <mergeCell ref="I57:J57"/>
    <mergeCell ref="M57:N57"/>
    <mergeCell ref="O57:P57"/>
    <mergeCell ref="R43:R44"/>
    <mergeCell ref="R45:R46"/>
    <mergeCell ref="R47:R48"/>
    <mergeCell ref="R49:R50"/>
    <mergeCell ref="M11:N11"/>
    <mergeCell ref="A55:F55"/>
    <mergeCell ref="I55:J55"/>
    <mergeCell ref="M55:N55"/>
    <mergeCell ref="O55:P55"/>
    <mergeCell ref="Q43:Q44"/>
    <mergeCell ref="Q45:Q46"/>
    <mergeCell ref="Q47:Q48"/>
    <mergeCell ref="Q49:Q50"/>
    <mergeCell ref="R16:R17"/>
    <mergeCell ref="R18:R19"/>
    <mergeCell ref="R20:R21"/>
    <mergeCell ref="R30:R31"/>
    <mergeCell ref="R36:R37"/>
    <mergeCell ref="R40:R41"/>
    <mergeCell ref="I15:J15"/>
    <mergeCell ref="A120:F120"/>
    <mergeCell ref="I120:J120"/>
    <mergeCell ref="M120:N120"/>
    <mergeCell ref="O120:P120"/>
    <mergeCell ref="I58:J58"/>
    <mergeCell ref="I59:J59"/>
    <mergeCell ref="M59:N59"/>
    <mergeCell ref="O59:P59"/>
    <mergeCell ref="B90:F91"/>
    <mergeCell ref="I60:J60"/>
    <mergeCell ref="M60:N60"/>
    <mergeCell ref="O60:P60"/>
    <mergeCell ref="I61:J61"/>
    <mergeCell ref="M61:N61"/>
    <mergeCell ref="O61:P61"/>
    <mergeCell ref="I62:J62"/>
    <mergeCell ref="M62:N62"/>
    <mergeCell ref="O62:P62"/>
    <mergeCell ref="I63:J63"/>
    <mergeCell ref="M63:N63"/>
    <mergeCell ref="O63:P63"/>
    <mergeCell ref="B110:F110"/>
    <mergeCell ref="I67:J67"/>
    <mergeCell ref="M67:N67"/>
    <mergeCell ref="O67:P67"/>
    <mergeCell ref="I68:J68"/>
    <mergeCell ref="M68:N68"/>
    <mergeCell ref="O68:P68"/>
    <mergeCell ref="I64:J64"/>
    <mergeCell ref="M64:N64"/>
    <mergeCell ref="O64:P64"/>
    <mergeCell ref="I66:J66"/>
    <mergeCell ref="M66:N66"/>
    <mergeCell ref="O66:P66"/>
    <mergeCell ref="I65:J65"/>
    <mergeCell ref="K65:L65"/>
    <mergeCell ref="M65:N65"/>
    <mergeCell ref="O65:P65"/>
    <mergeCell ref="I72:J72"/>
    <mergeCell ref="M72:N72"/>
    <mergeCell ref="O72:P72"/>
    <mergeCell ref="I73:J73"/>
    <mergeCell ref="M73:N73"/>
    <mergeCell ref="O73:P73"/>
    <mergeCell ref="I69:J69"/>
    <mergeCell ref="M69:N69"/>
    <mergeCell ref="O69:P69"/>
    <mergeCell ref="I70:J70"/>
    <mergeCell ref="M70:N70"/>
    <mergeCell ref="O70:P70"/>
    <mergeCell ref="K71:L71"/>
    <mergeCell ref="K72:L72"/>
    <mergeCell ref="K73:L73"/>
    <mergeCell ref="I76:J76"/>
    <mergeCell ref="M76:N76"/>
    <mergeCell ref="O76:P76"/>
    <mergeCell ref="I77:J77"/>
    <mergeCell ref="M77:N77"/>
    <mergeCell ref="O77:P77"/>
    <mergeCell ref="I74:J74"/>
    <mergeCell ref="M74:N74"/>
    <mergeCell ref="O74:P74"/>
    <mergeCell ref="I75:J75"/>
    <mergeCell ref="M75:N75"/>
    <mergeCell ref="O75:P75"/>
    <mergeCell ref="K74:L74"/>
    <mergeCell ref="K75:L75"/>
    <mergeCell ref="K76:L76"/>
    <mergeCell ref="K77:L77"/>
    <mergeCell ref="I80:J80"/>
    <mergeCell ref="M80:N80"/>
    <mergeCell ref="O80:P80"/>
    <mergeCell ref="I81:J81"/>
    <mergeCell ref="M81:N81"/>
    <mergeCell ref="O81:P81"/>
    <mergeCell ref="I78:J78"/>
    <mergeCell ref="M78:N78"/>
    <mergeCell ref="O78:P78"/>
    <mergeCell ref="I79:J79"/>
    <mergeCell ref="M79:N79"/>
    <mergeCell ref="O79:P79"/>
    <mergeCell ref="K78:L78"/>
    <mergeCell ref="K79:L79"/>
    <mergeCell ref="K80:L80"/>
    <mergeCell ref="K81:L81"/>
    <mergeCell ref="I85:J85"/>
    <mergeCell ref="M85:N85"/>
    <mergeCell ref="O85:P85"/>
    <mergeCell ref="I86:J86"/>
    <mergeCell ref="M86:N86"/>
    <mergeCell ref="O86:P86"/>
    <mergeCell ref="I83:J83"/>
    <mergeCell ref="M83:N83"/>
    <mergeCell ref="O83:P83"/>
    <mergeCell ref="I84:J84"/>
    <mergeCell ref="M84:N84"/>
    <mergeCell ref="O84:P84"/>
    <mergeCell ref="I89:J89"/>
    <mergeCell ref="M89:N89"/>
    <mergeCell ref="O89:P89"/>
    <mergeCell ref="I87:J87"/>
    <mergeCell ref="M87:N87"/>
    <mergeCell ref="O87:P87"/>
    <mergeCell ref="I88:J88"/>
    <mergeCell ref="M88:N88"/>
    <mergeCell ref="O88:P88"/>
    <mergeCell ref="I93:J93"/>
    <mergeCell ref="M93:N93"/>
    <mergeCell ref="O93:P93"/>
    <mergeCell ref="I94:J94"/>
    <mergeCell ref="M94:N94"/>
    <mergeCell ref="O94:P94"/>
    <mergeCell ref="I92:J92"/>
    <mergeCell ref="M92:N92"/>
    <mergeCell ref="O92:P92"/>
    <mergeCell ref="K92:L92"/>
    <mergeCell ref="K93:L93"/>
    <mergeCell ref="K94:L94"/>
    <mergeCell ref="I97:J97"/>
    <mergeCell ref="M97:N97"/>
    <mergeCell ref="O97:P97"/>
    <mergeCell ref="I98:J98"/>
    <mergeCell ref="M98:N98"/>
    <mergeCell ref="O98:P98"/>
    <mergeCell ref="I95:J95"/>
    <mergeCell ref="M95:N95"/>
    <mergeCell ref="O95:P95"/>
    <mergeCell ref="I96:J96"/>
    <mergeCell ref="M96:N96"/>
    <mergeCell ref="O96:P96"/>
    <mergeCell ref="K95:L95"/>
    <mergeCell ref="K96:L96"/>
    <mergeCell ref="K97:L97"/>
    <mergeCell ref="K98:L98"/>
    <mergeCell ref="I99:J99"/>
    <mergeCell ref="M99:N99"/>
    <mergeCell ref="O99:P99"/>
    <mergeCell ref="I100:J100"/>
    <mergeCell ref="M100:N100"/>
    <mergeCell ref="O100:P100"/>
    <mergeCell ref="I103:J103"/>
    <mergeCell ref="M103:N103"/>
    <mergeCell ref="O103:P103"/>
    <mergeCell ref="K99:L99"/>
    <mergeCell ref="K100:L100"/>
    <mergeCell ref="K101:L102"/>
    <mergeCell ref="I111:J111"/>
    <mergeCell ref="M111:N111"/>
    <mergeCell ref="O111:P111"/>
    <mergeCell ref="I112:J112"/>
    <mergeCell ref="M112:N112"/>
    <mergeCell ref="O112:P112"/>
    <mergeCell ref="I110:J110"/>
    <mergeCell ref="M110:N110"/>
    <mergeCell ref="O110:P110"/>
    <mergeCell ref="M115:N115"/>
    <mergeCell ref="O115:P115"/>
    <mergeCell ref="I116:J116"/>
    <mergeCell ref="M116:N116"/>
    <mergeCell ref="O116:P116"/>
    <mergeCell ref="I113:J113"/>
    <mergeCell ref="M113:N113"/>
    <mergeCell ref="O113:P113"/>
    <mergeCell ref="I114:J114"/>
    <mergeCell ref="M114:N114"/>
    <mergeCell ref="O114:P114"/>
    <mergeCell ref="K116:L116"/>
    <mergeCell ref="A5:R5"/>
    <mergeCell ref="O82:P82"/>
    <mergeCell ref="I90:J91"/>
    <mergeCell ref="M90:N91"/>
    <mergeCell ref="O90:P91"/>
    <mergeCell ref="Q90:Q91"/>
    <mergeCell ref="R90:R91"/>
    <mergeCell ref="I119:J119"/>
    <mergeCell ref="M119:N119"/>
    <mergeCell ref="O119:P119"/>
    <mergeCell ref="M58:N58"/>
    <mergeCell ref="O58:P58"/>
    <mergeCell ref="I71:J71"/>
    <mergeCell ref="M71:N71"/>
    <mergeCell ref="O71:P71"/>
    <mergeCell ref="I82:J82"/>
    <mergeCell ref="M82:N82"/>
    <mergeCell ref="I117:J117"/>
    <mergeCell ref="M117:N117"/>
    <mergeCell ref="O117:P117"/>
    <mergeCell ref="I118:J118"/>
    <mergeCell ref="M118:N118"/>
    <mergeCell ref="O118:P118"/>
    <mergeCell ref="I115:J115"/>
    <mergeCell ref="Q24:Q25"/>
    <mergeCell ref="R24:R25"/>
    <mergeCell ref="B28:F29"/>
    <mergeCell ref="I28:J29"/>
    <mergeCell ref="M28:N29"/>
    <mergeCell ref="O28:P29"/>
    <mergeCell ref="B34:F35"/>
    <mergeCell ref="I34:J35"/>
    <mergeCell ref="M34:N35"/>
    <mergeCell ref="O34:P35"/>
    <mergeCell ref="B26:F27"/>
    <mergeCell ref="I26:J27"/>
    <mergeCell ref="M26:N27"/>
    <mergeCell ref="O26:P27"/>
    <mergeCell ref="Q26:Q27"/>
    <mergeCell ref="Q28:Q29"/>
    <mergeCell ref="R26:R27"/>
    <mergeCell ref="R28:R29"/>
    <mergeCell ref="M30:N31"/>
    <mergeCell ref="O30:P31"/>
    <mergeCell ref="M32:N32"/>
    <mergeCell ref="O32:P32"/>
    <mergeCell ref="Q34:Q35"/>
    <mergeCell ref="R34:R35"/>
    <mergeCell ref="B101:F102"/>
    <mergeCell ref="I101:J102"/>
    <mergeCell ref="M101:N102"/>
    <mergeCell ref="O101:P102"/>
    <mergeCell ref="K103:L103"/>
    <mergeCell ref="K104:L104"/>
    <mergeCell ref="K106:L106"/>
    <mergeCell ref="K107:L107"/>
    <mergeCell ref="K108:L108"/>
    <mergeCell ref="I105:J105"/>
    <mergeCell ref="K105:L105"/>
    <mergeCell ref="M105:N105"/>
    <mergeCell ref="O105:P105"/>
    <mergeCell ref="G108:H108"/>
    <mergeCell ref="I104:J104"/>
    <mergeCell ref="M104:N104"/>
    <mergeCell ref="O104:P104"/>
    <mergeCell ref="I106:J106"/>
    <mergeCell ref="M106:N106"/>
    <mergeCell ref="O106:P106"/>
    <mergeCell ref="G109:H109"/>
    <mergeCell ref="I109:J109"/>
    <mergeCell ref="K109:L109"/>
    <mergeCell ref="M109:N109"/>
    <mergeCell ref="O109:P109"/>
    <mergeCell ref="Q101:Q102"/>
    <mergeCell ref="R101:R102"/>
    <mergeCell ref="I107:J107"/>
    <mergeCell ref="M107:N107"/>
    <mergeCell ref="O107:P107"/>
    <mergeCell ref="I108:J108"/>
    <mergeCell ref="M108:N108"/>
    <mergeCell ref="O108:P108"/>
  </mergeCells>
  <pageMargins left="0.7" right="0.7" top="0.75" bottom="0.75" header="0.3" footer="0.3"/>
  <pageSetup paperSize="9" scale="53" orientation="portrait" r:id="rId2"/>
  <rowBreaks count="1" manualBreakCount="1">
    <brk id="56" max="16383" man="1"/>
  </rowBreaks>
  <ignoredErrors>
    <ignoredError sqref="M63:N63 M61:N61 K61:L61 K60 G62:H62 G60:H60 G61:H61 I60:J64 I66:J105 I108:J108 J106 M60 M62 I111:J119" formula="1"/>
    <ignoredError sqref="Q110:R110 Q66:R105 Q32:R54 Q19:Q21 Q17 Q16 Q18 Q25:Q31 R19:R21 R24 R25:R31 R18 Q22:R23 R17 Q14:R15 R11:R13 R16 Q57:R65 Q106:R108 Q109:R109 R120 Q111:R11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opLeftCell="A112" zoomScaleNormal="100" workbookViewId="0">
      <selection activeCell="E132" sqref="E132"/>
    </sheetView>
  </sheetViews>
  <sheetFormatPr defaultRowHeight="15" x14ac:dyDescent="0.25"/>
  <cols>
    <col min="1" max="6" width="9.7109375" customWidth="1"/>
    <col min="7" max="20" width="8.85546875" customWidth="1"/>
  </cols>
  <sheetData>
    <row r="1" spans="1:20" x14ac:dyDescent="0.25">
      <c r="A1" s="1" t="s">
        <v>22</v>
      </c>
    </row>
    <row r="2" spans="1:20" x14ac:dyDescent="0.25">
      <c r="A2" t="s">
        <v>20</v>
      </c>
    </row>
    <row r="3" spans="1:20" x14ac:dyDescent="0.25">
      <c r="A3" t="s">
        <v>21</v>
      </c>
    </row>
    <row r="5" spans="1:20" ht="15" customHeight="1" x14ac:dyDescent="0.25">
      <c r="A5" s="271" t="s">
        <v>206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</row>
    <row r="6" spans="1:20" ht="15.75" thickBot="1" x14ac:dyDescent="0.3"/>
    <row r="7" spans="1:20" ht="15" customHeight="1" x14ac:dyDescent="0.25">
      <c r="A7" s="284" t="s">
        <v>12</v>
      </c>
      <c r="B7" s="285"/>
      <c r="C7" s="285"/>
      <c r="D7" s="285"/>
      <c r="E7" s="285"/>
      <c r="F7" s="286"/>
      <c r="G7" s="218" t="s">
        <v>196</v>
      </c>
      <c r="H7" s="219"/>
      <c r="I7" s="218" t="s">
        <v>197</v>
      </c>
      <c r="J7" s="219"/>
      <c r="K7" s="218" t="s">
        <v>198</v>
      </c>
      <c r="L7" s="219"/>
      <c r="M7" s="218" t="s">
        <v>199</v>
      </c>
      <c r="N7" s="219"/>
      <c r="O7" s="222" t="s">
        <v>200</v>
      </c>
      <c r="P7" s="222"/>
      <c r="Q7" s="25" t="s">
        <v>51</v>
      </c>
      <c r="R7" s="25" t="s">
        <v>51</v>
      </c>
    </row>
    <row r="8" spans="1:20" x14ac:dyDescent="0.25">
      <c r="A8" s="287"/>
      <c r="B8" s="288"/>
      <c r="C8" s="288"/>
      <c r="D8" s="288"/>
      <c r="E8" s="288"/>
      <c r="F8" s="289"/>
      <c r="G8" s="220"/>
      <c r="H8" s="221"/>
      <c r="I8" s="220"/>
      <c r="J8" s="221"/>
      <c r="K8" s="220"/>
      <c r="L8" s="221"/>
      <c r="M8" s="220"/>
      <c r="N8" s="221"/>
      <c r="O8" s="223"/>
      <c r="P8" s="223"/>
      <c r="Q8" s="28" t="s">
        <v>194</v>
      </c>
      <c r="R8" s="26" t="s">
        <v>195</v>
      </c>
    </row>
    <row r="9" spans="1:20" ht="15.75" thickBot="1" x14ac:dyDescent="0.3">
      <c r="A9" s="216">
        <v>1</v>
      </c>
      <c r="B9" s="217"/>
      <c r="C9" s="217"/>
      <c r="D9" s="217"/>
      <c r="E9" s="217"/>
      <c r="F9" s="224"/>
      <c r="G9" s="216">
        <v>2</v>
      </c>
      <c r="H9" s="217"/>
      <c r="I9" s="216">
        <v>3</v>
      </c>
      <c r="J9" s="217"/>
      <c r="K9" s="216">
        <v>4</v>
      </c>
      <c r="L9" s="217"/>
      <c r="M9" s="216">
        <v>5</v>
      </c>
      <c r="N9" s="217"/>
      <c r="O9" s="216">
        <v>6</v>
      </c>
      <c r="P9" s="217"/>
      <c r="Q9" s="27">
        <v>7</v>
      </c>
      <c r="R9" s="27">
        <v>8</v>
      </c>
    </row>
    <row r="10" spans="1:20" x14ac:dyDescent="0.25">
      <c r="A10" s="297" t="s">
        <v>23</v>
      </c>
      <c r="B10" s="298"/>
      <c r="C10" s="298"/>
      <c r="D10" s="298"/>
      <c r="E10" s="298"/>
      <c r="F10" s="299"/>
      <c r="G10" s="290">
        <f>G11+G54+G112+G119+G125</f>
        <v>5965679.3499999996</v>
      </c>
      <c r="H10" s="290"/>
      <c r="I10" s="290">
        <f>I11+I54+I112+I119+I125</f>
        <v>791781.71743314085</v>
      </c>
      <c r="J10" s="290"/>
      <c r="K10" s="290">
        <f>K11+K54+K112+K119+K125</f>
        <v>1552330.5299999998</v>
      </c>
      <c r="L10" s="290"/>
      <c r="M10" s="290">
        <f>M11+M54+M112+M119+M125</f>
        <v>1789168.89</v>
      </c>
      <c r="N10" s="290"/>
      <c r="O10" s="290">
        <f>O11+O54+O112+O119+O125</f>
        <v>916085.07999999984</v>
      </c>
      <c r="P10" s="290"/>
      <c r="Q10" s="60">
        <f>O10/I10*100</f>
        <v>115.69919585537227</v>
      </c>
      <c r="R10" s="60">
        <f t="shared" ref="R10:R11" si="0">O10/M10*100</f>
        <v>51.201710756327756</v>
      </c>
    </row>
    <row r="11" spans="1:20" x14ac:dyDescent="0.25">
      <c r="A11" s="294" t="s">
        <v>124</v>
      </c>
      <c r="B11" s="295"/>
      <c r="C11" s="295"/>
      <c r="D11" s="295"/>
      <c r="E11" s="295"/>
      <c r="F11" s="296"/>
      <c r="G11" s="275">
        <f>G12+G42+G45+G48</f>
        <v>5787004.5099999998</v>
      </c>
      <c r="H11" s="276"/>
      <c r="I11" s="275">
        <f>I12+I42+I45+I48</f>
        <v>768067.49087530677</v>
      </c>
      <c r="J11" s="276"/>
      <c r="K11" s="275">
        <f>K12+K42+K45+K48</f>
        <v>1510816.0999999999</v>
      </c>
      <c r="L11" s="276"/>
      <c r="M11" s="275">
        <f>M12+M42+M45+M48</f>
        <v>1687488.68</v>
      </c>
      <c r="N11" s="276"/>
      <c r="O11" s="275">
        <f>O12+O42+O45+O48</f>
        <v>841223.54999999993</v>
      </c>
      <c r="P11" s="276"/>
      <c r="Q11" s="61">
        <f>O11/I11*100</f>
        <v>109.52469151393491</v>
      </c>
      <c r="R11" s="61">
        <f t="shared" si="0"/>
        <v>49.850618849780965</v>
      </c>
    </row>
    <row r="12" spans="1:20" x14ac:dyDescent="0.25">
      <c r="A12" s="245" t="s">
        <v>24</v>
      </c>
      <c r="B12" s="246"/>
      <c r="C12" s="246"/>
      <c r="D12" s="246"/>
      <c r="E12" s="246"/>
      <c r="F12" s="247"/>
      <c r="G12" s="267">
        <f>G14</f>
        <v>637593.41</v>
      </c>
      <c r="H12" s="268"/>
      <c r="I12" s="267">
        <f>I14</f>
        <v>84623.188001858129</v>
      </c>
      <c r="J12" s="268"/>
      <c r="K12" s="267">
        <f>K14</f>
        <v>140983.97999999998</v>
      </c>
      <c r="L12" s="268"/>
      <c r="M12" s="267">
        <f>M14</f>
        <v>190788.68000000002</v>
      </c>
      <c r="N12" s="268"/>
      <c r="O12" s="267">
        <f>O14</f>
        <v>93150.73</v>
      </c>
      <c r="P12" s="268"/>
      <c r="Q12" s="244">
        <f>O12/I12*100</f>
        <v>110.07707485323598</v>
      </c>
      <c r="R12" s="244">
        <f>O12/M12*100</f>
        <v>48.824034004533175</v>
      </c>
    </row>
    <row r="13" spans="1:20" x14ac:dyDescent="0.25">
      <c r="A13" s="245" t="s">
        <v>25</v>
      </c>
      <c r="B13" s="246"/>
      <c r="C13" s="246"/>
      <c r="D13" s="246"/>
      <c r="E13" s="246"/>
      <c r="F13" s="247"/>
      <c r="G13" s="257"/>
      <c r="H13" s="258"/>
      <c r="I13" s="257"/>
      <c r="J13" s="258"/>
      <c r="K13" s="257"/>
      <c r="L13" s="258"/>
      <c r="M13" s="257"/>
      <c r="N13" s="258"/>
      <c r="O13" s="257"/>
      <c r="P13" s="258"/>
      <c r="Q13" s="244"/>
      <c r="R13" s="244"/>
    </row>
    <row r="14" spans="1:20" x14ac:dyDescent="0.25">
      <c r="A14" s="43">
        <v>32</v>
      </c>
      <c r="B14" s="44" t="s">
        <v>106</v>
      </c>
      <c r="C14" s="44"/>
      <c r="D14" s="44"/>
      <c r="E14" s="44"/>
      <c r="F14" s="45"/>
      <c r="G14" s="277">
        <f>G15+G20+G27+G37</f>
        <v>637593.41</v>
      </c>
      <c r="H14" s="278"/>
      <c r="I14" s="277">
        <f>I15+I20+I27+I37</f>
        <v>84623.188001858129</v>
      </c>
      <c r="J14" s="278"/>
      <c r="K14" s="277">
        <f>K15+K20+K27+K37</f>
        <v>140983.97999999998</v>
      </c>
      <c r="L14" s="278"/>
      <c r="M14" s="277">
        <f>M15+M20+M27+M37</f>
        <v>190788.68000000002</v>
      </c>
      <c r="N14" s="278"/>
      <c r="O14" s="277">
        <f>O15+O20+O27+O37</f>
        <v>93150.73</v>
      </c>
      <c r="P14" s="278"/>
      <c r="Q14" s="62">
        <f>O14/I14*100</f>
        <v>110.07707485323598</v>
      </c>
      <c r="R14" s="62">
        <f>O14/M14*100</f>
        <v>48.824034004533175</v>
      </c>
      <c r="T14" s="37"/>
    </row>
    <row r="15" spans="1:20" x14ac:dyDescent="0.25">
      <c r="A15" s="21">
        <v>321</v>
      </c>
      <c r="B15" s="5" t="s">
        <v>107</v>
      </c>
      <c r="C15" s="5"/>
      <c r="D15" s="5"/>
      <c r="E15" s="5"/>
      <c r="F15" s="13"/>
      <c r="G15" s="279">
        <f>SUM(G16:H19)</f>
        <v>171401.86</v>
      </c>
      <c r="H15" s="280"/>
      <c r="I15" s="279">
        <f>SUM(I16:J19)</f>
        <v>22748.936226690559</v>
      </c>
      <c r="J15" s="280"/>
      <c r="K15" s="279">
        <f>SUM(K16:L19)</f>
        <v>40945.000000000007</v>
      </c>
      <c r="L15" s="280"/>
      <c r="M15" s="279">
        <f>SUM(M16:N19)</f>
        <v>49100</v>
      </c>
      <c r="N15" s="280"/>
      <c r="O15" s="279">
        <f>SUM(O16:P19)</f>
        <v>28488.62</v>
      </c>
      <c r="P15" s="280"/>
      <c r="Q15" s="56">
        <f>O15/I15*100</f>
        <v>125.23055898576594</v>
      </c>
      <c r="R15" s="56">
        <f>O15/M15*100</f>
        <v>58.021629327902232</v>
      </c>
    </row>
    <row r="16" spans="1:20" x14ac:dyDescent="0.25">
      <c r="A16" s="12">
        <v>3211</v>
      </c>
      <c r="B16" s="4" t="s">
        <v>64</v>
      </c>
      <c r="C16" s="4"/>
      <c r="D16" s="4"/>
      <c r="E16" s="4"/>
      <c r="F16" s="13"/>
      <c r="G16" s="90">
        <v>33999.86</v>
      </c>
      <c r="H16" s="91"/>
      <c r="I16" s="90">
        <f>G16/7.5345</f>
        <v>4512.5569049041078</v>
      </c>
      <c r="J16" s="91"/>
      <c r="K16" s="90">
        <v>6636.14</v>
      </c>
      <c r="L16" s="91"/>
      <c r="M16" s="90">
        <v>12000</v>
      </c>
      <c r="N16" s="91"/>
      <c r="O16" s="90">
        <v>8333.6200000000008</v>
      </c>
      <c r="P16" s="91"/>
      <c r="Q16" s="71">
        <f>O16/I16*100</f>
        <v>184.67623069624406</v>
      </c>
      <c r="R16" s="71">
        <f t="shared" ref="R16:R41" si="1">O16/M16*100</f>
        <v>69.446833333333331</v>
      </c>
    </row>
    <row r="17" spans="1:18" x14ac:dyDescent="0.25">
      <c r="A17" s="12">
        <v>3212</v>
      </c>
      <c r="B17" s="4" t="s">
        <v>108</v>
      </c>
      <c r="C17" s="4"/>
      <c r="D17" s="4"/>
      <c r="E17" s="4"/>
      <c r="F17" s="13"/>
      <c r="G17" s="90">
        <v>127380</v>
      </c>
      <c r="H17" s="91"/>
      <c r="I17" s="90">
        <f t="shared" ref="I17:I19" si="2">G17/7.5345</f>
        <v>16906.231335855067</v>
      </c>
      <c r="J17" s="91"/>
      <c r="K17" s="90">
        <v>32517.09</v>
      </c>
      <c r="L17" s="91"/>
      <c r="M17" s="90">
        <v>34300</v>
      </c>
      <c r="N17" s="91"/>
      <c r="O17" s="90">
        <v>19032.8</v>
      </c>
      <c r="P17" s="91"/>
      <c r="Q17" s="71">
        <f>O17/I17*100</f>
        <v>112.57860857277437</v>
      </c>
      <c r="R17" s="71">
        <f t="shared" si="1"/>
        <v>55.489212827988332</v>
      </c>
    </row>
    <row r="18" spans="1:18" x14ac:dyDescent="0.25">
      <c r="A18" s="12">
        <v>3213</v>
      </c>
      <c r="B18" s="4" t="s">
        <v>66</v>
      </c>
      <c r="C18" s="4"/>
      <c r="D18" s="4"/>
      <c r="E18" s="4"/>
      <c r="F18" s="13"/>
      <c r="G18" s="90">
        <v>6550</v>
      </c>
      <c r="H18" s="91"/>
      <c r="I18" s="90">
        <f>G18/7.5345</f>
        <v>869.33439511580059</v>
      </c>
      <c r="J18" s="91"/>
      <c r="K18" s="90">
        <v>1260.8699999999999</v>
      </c>
      <c r="L18" s="91"/>
      <c r="M18" s="90">
        <v>1300</v>
      </c>
      <c r="N18" s="91"/>
      <c r="O18" s="90">
        <v>261</v>
      </c>
      <c r="P18" s="91"/>
      <c r="Q18" s="71">
        <f>O18/I18*100</f>
        <v>30.022969465648856</v>
      </c>
      <c r="R18" s="71">
        <f>O18/M18*100</f>
        <v>20.076923076923077</v>
      </c>
    </row>
    <row r="19" spans="1:18" x14ac:dyDescent="0.25">
      <c r="A19" s="12">
        <v>3214</v>
      </c>
      <c r="B19" s="4" t="s">
        <v>98</v>
      </c>
      <c r="C19" s="4"/>
      <c r="D19" s="4"/>
      <c r="E19" s="4"/>
      <c r="F19" s="13"/>
      <c r="G19" s="90">
        <v>3472</v>
      </c>
      <c r="H19" s="91"/>
      <c r="I19" s="90">
        <f t="shared" si="2"/>
        <v>460.81359081558162</v>
      </c>
      <c r="J19" s="91"/>
      <c r="K19" s="90">
        <v>530.9</v>
      </c>
      <c r="L19" s="91"/>
      <c r="M19" s="90">
        <v>1500</v>
      </c>
      <c r="N19" s="91"/>
      <c r="O19" s="90">
        <v>861.2</v>
      </c>
      <c r="P19" s="91"/>
      <c r="Q19" s="71">
        <f t="shared" ref="Q19:Q41" si="3">O19/I19*100</f>
        <v>186.88684907834104</v>
      </c>
      <c r="R19" s="71">
        <f t="shared" si="1"/>
        <v>57.413333333333341</v>
      </c>
    </row>
    <row r="20" spans="1:18" x14ac:dyDescent="0.25">
      <c r="A20" s="21">
        <v>322</v>
      </c>
      <c r="B20" s="5" t="s">
        <v>106</v>
      </c>
      <c r="C20" s="5"/>
      <c r="D20" s="5"/>
      <c r="E20" s="5"/>
      <c r="F20" s="22"/>
      <c r="G20" s="279">
        <f>SUM(G21:H26)</f>
        <v>350328.93</v>
      </c>
      <c r="H20" s="280"/>
      <c r="I20" s="279">
        <f>SUM(I21:J26)</f>
        <v>46496.639458490943</v>
      </c>
      <c r="J20" s="280"/>
      <c r="K20" s="279">
        <f>SUM(K21:L26)</f>
        <v>69148.62</v>
      </c>
      <c r="L20" s="280"/>
      <c r="M20" s="279">
        <f>SUM(M21:N26)</f>
        <v>100830.26</v>
      </c>
      <c r="N20" s="280"/>
      <c r="O20" s="279">
        <f>SUM(O21:P26)</f>
        <v>49947.91</v>
      </c>
      <c r="P20" s="280"/>
      <c r="Q20" s="56">
        <f t="shared" si="3"/>
        <v>107.42262361689627</v>
      </c>
      <c r="R20" s="56">
        <f>O20/M20*100</f>
        <v>49.536627199017438</v>
      </c>
    </row>
    <row r="21" spans="1:18" x14ac:dyDescent="0.25">
      <c r="A21" s="12">
        <v>3221</v>
      </c>
      <c r="B21" s="4" t="s">
        <v>68</v>
      </c>
      <c r="C21" s="4"/>
      <c r="D21" s="4"/>
      <c r="E21" s="4"/>
      <c r="F21" s="13"/>
      <c r="G21" s="90">
        <v>51343.43</v>
      </c>
      <c r="H21" s="91"/>
      <c r="I21" s="90">
        <f>G21/7.5345</f>
        <v>6814.4442232397632</v>
      </c>
      <c r="J21" s="91"/>
      <c r="K21" s="90">
        <v>10617.83</v>
      </c>
      <c r="L21" s="91"/>
      <c r="M21" s="90">
        <v>14000</v>
      </c>
      <c r="N21" s="91"/>
      <c r="O21" s="90">
        <v>8689.2000000000007</v>
      </c>
      <c r="P21" s="91"/>
      <c r="Q21" s="71">
        <f t="shared" si="3"/>
        <v>127.51149932912548</v>
      </c>
      <c r="R21" s="71">
        <f t="shared" si="1"/>
        <v>62.065714285714293</v>
      </c>
    </row>
    <row r="22" spans="1:18" x14ac:dyDescent="0.25">
      <c r="A22" s="12">
        <v>3222</v>
      </c>
      <c r="B22" s="4" t="s">
        <v>109</v>
      </c>
      <c r="C22" s="4"/>
      <c r="D22" s="4"/>
      <c r="E22" s="4"/>
      <c r="F22" s="13"/>
      <c r="G22" s="90">
        <v>80259.320000000007</v>
      </c>
      <c r="H22" s="91"/>
      <c r="I22" s="90">
        <f t="shared" ref="I22:I26" si="4">G22/7.5345</f>
        <v>10652.242351848165</v>
      </c>
      <c r="J22" s="91"/>
      <c r="K22" s="90">
        <v>19908.43</v>
      </c>
      <c r="L22" s="91"/>
      <c r="M22" s="90">
        <v>20000</v>
      </c>
      <c r="N22" s="91"/>
      <c r="O22" s="90">
        <v>11031.37</v>
      </c>
      <c r="P22" s="91"/>
      <c r="Q22" s="71">
        <f t="shared" si="3"/>
        <v>103.55913464629405</v>
      </c>
      <c r="R22" s="71">
        <f t="shared" si="1"/>
        <v>55.156849999999999</v>
      </c>
    </row>
    <row r="23" spans="1:18" x14ac:dyDescent="0.25">
      <c r="A23" s="12">
        <v>3223</v>
      </c>
      <c r="B23" s="4" t="s">
        <v>69</v>
      </c>
      <c r="C23" s="4"/>
      <c r="D23" s="4"/>
      <c r="E23" s="4"/>
      <c r="F23" s="13"/>
      <c r="G23" s="90">
        <v>195647.23</v>
      </c>
      <c r="H23" s="91"/>
      <c r="I23" s="90">
        <f t="shared" si="4"/>
        <v>25966.849824142279</v>
      </c>
      <c r="J23" s="91"/>
      <c r="K23" s="90">
        <v>33180.71</v>
      </c>
      <c r="L23" s="91"/>
      <c r="M23" s="90">
        <v>60000</v>
      </c>
      <c r="N23" s="91"/>
      <c r="O23" s="90">
        <v>26835</v>
      </c>
      <c r="P23" s="91"/>
      <c r="Q23" s="71">
        <f t="shared" si="3"/>
        <v>103.34330187041239</v>
      </c>
      <c r="R23" s="71">
        <f t="shared" si="1"/>
        <v>44.725000000000001</v>
      </c>
    </row>
    <row r="24" spans="1:18" x14ac:dyDescent="0.25">
      <c r="A24" s="12">
        <v>3224</v>
      </c>
      <c r="B24" s="4" t="s">
        <v>110</v>
      </c>
      <c r="C24" s="4"/>
      <c r="D24" s="4"/>
      <c r="E24" s="4"/>
      <c r="F24" s="13"/>
      <c r="G24" s="90">
        <v>14147.01</v>
      </c>
      <c r="H24" s="91"/>
      <c r="I24" s="90">
        <f t="shared" si="4"/>
        <v>1877.6308978697989</v>
      </c>
      <c r="J24" s="91"/>
      <c r="K24" s="90">
        <v>4645.3</v>
      </c>
      <c r="L24" s="91"/>
      <c r="M24" s="90">
        <v>6000</v>
      </c>
      <c r="N24" s="91"/>
      <c r="O24" s="90">
        <v>2862.08</v>
      </c>
      <c r="P24" s="91"/>
      <c r="Q24" s="71">
        <f t="shared" si="3"/>
        <v>152.43038465371833</v>
      </c>
      <c r="R24" s="71">
        <f t="shared" si="1"/>
        <v>47.701333333333338</v>
      </c>
    </row>
    <row r="25" spans="1:18" x14ac:dyDescent="0.25">
      <c r="A25" s="12">
        <v>3225</v>
      </c>
      <c r="B25" s="4" t="s">
        <v>71</v>
      </c>
      <c r="C25" s="4"/>
      <c r="D25" s="4"/>
      <c r="E25" s="4"/>
      <c r="F25" s="13"/>
      <c r="G25" s="90">
        <v>4973.1000000000004</v>
      </c>
      <c r="H25" s="91"/>
      <c r="I25" s="90">
        <f t="shared" si="4"/>
        <v>660.04379852677687</v>
      </c>
      <c r="J25" s="91"/>
      <c r="K25" s="90">
        <v>265.45</v>
      </c>
      <c r="L25" s="91"/>
      <c r="M25" s="90">
        <v>300</v>
      </c>
      <c r="N25" s="91"/>
      <c r="O25" s="90">
        <v>0</v>
      </c>
      <c r="P25" s="91"/>
      <c r="Q25" s="71">
        <f t="shared" si="3"/>
        <v>0</v>
      </c>
      <c r="R25" s="71">
        <f t="shared" si="1"/>
        <v>0</v>
      </c>
    </row>
    <row r="26" spans="1:18" x14ac:dyDescent="0.25">
      <c r="A26" s="12">
        <v>3227</v>
      </c>
      <c r="B26" s="4" t="s">
        <v>72</v>
      </c>
      <c r="C26" s="4"/>
      <c r="D26" s="4"/>
      <c r="E26" s="4"/>
      <c r="F26" s="13"/>
      <c r="G26" s="90">
        <v>3958.84</v>
      </c>
      <c r="H26" s="91"/>
      <c r="I26" s="90">
        <f t="shared" si="4"/>
        <v>525.4283628641582</v>
      </c>
      <c r="J26" s="91"/>
      <c r="K26" s="90">
        <v>530.9</v>
      </c>
      <c r="L26" s="91"/>
      <c r="M26" s="90">
        <v>530.26</v>
      </c>
      <c r="N26" s="91"/>
      <c r="O26" s="90">
        <v>530.26</v>
      </c>
      <c r="P26" s="91"/>
      <c r="Q26" s="71">
        <f t="shared" si="3"/>
        <v>100.91956153822836</v>
      </c>
      <c r="R26" s="71">
        <f t="shared" si="1"/>
        <v>100</v>
      </c>
    </row>
    <row r="27" spans="1:18" x14ac:dyDescent="0.25">
      <c r="A27" s="21">
        <v>323</v>
      </c>
      <c r="B27" s="5" t="s">
        <v>111</v>
      </c>
      <c r="C27" s="5"/>
      <c r="D27" s="5"/>
      <c r="E27" s="5"/>
      <c r="F27" s="22"/>
      <c r="G27" s="279">
        <f>SUM(G28:H36)</f>
        <v>107240.02000000002</v>
      </c>
      <c r="H27" s="280"/>
      <c r="I27" s="279">
        <f>SUM(I28:J36)</f>
        <v>14233.196628840664</v>
      </c>
      <c r="J27" s="280"/>
      <c r="K27" s="279">
        <f>SUM(K28:L36)</f>
        <v>27128.579999999998</v>
      </c>
      <c r="L27" s="280"/>
      <c r="M27" s="279">
        <f>SUM(M28:N36)</f>
        <v>34327.440000000002</v>
      </c>
      <c r="N27" s="280"/>
      <c r="O27" s="279">
        <f>SUM(O28:P36)</f>
        <v>13096.66</v>
      </c>
      <c r="P27" s="280"/>
      <c r="Q27" s="56">
        <f t="shared" si="3"/>
        <v>92.014888443698553</v>
      </c>
      <c r="R27" s="56">
        <f t="shared" si="1"/>
        <v>38.152160487353555</v>
      </c>
    </row>
    <row r="28" spans="1:18" x14ac:dyDescent="0.25">
      <c r="A28" s="12">
        <v>3231</v>
      </c>
      <c r="B28" s="4" t="s">
        <v>74</v>
      </c>
      <c r="C28" s="4"/>
      <c r="D28" s="4"/>
      <c r="E28" s="4"/>
      <c r="F28" s="13"/>
      <c r="G28" s="90">
        <v>12769.52</v>
      </c>
      <c r="H28" s="91"/>
      <c r="I28" s="90">
        <f>G28/7.5345</f>
        <v>1694.8065565067357</v>
      </c>
      <c r="J28" s="91"/>
      <c r="K28" s="90">
        <v>3716.24</v>
      </c>
      <c r="L28" s="91"/>
      <c r="M28" s="90">
        <v>5500</v>
      </c>
      <c r="N28" s="91"/>
      <c r="O28" s="90">
        <v>3492.51</v>
      </c>
      <c r="P28" s="91"/>
      <c r="Q28" s="71">
        <f t="shared" si="3"/>
        <v>206.07130569512404</v>
      </c>
      <c r="R28" s="71">
        <f t="shared" si="1"/>
        <v>63.500181818181822</v>
      </c>
    </row>
    <row r="29" spans="1:18" x14ac:dyDescent="0.25">
      <c r="A29" s="12">
        <v>3232</v>
      </c>
      <c r="B29" s="4" t="s">
        <v>75</v>
      </c>
      <c r="C29" s="4"/>
      <c r="D29" s="4"/>
      <c r="E29" s="4"/>
      <c r="F29" s="13"/>
      <c r="G29" s="90">
        <v>32164.75</v>
      </c>
      <c r="H29" s="91"/>
      <c r="I29" s="90">
        <f t="shared" ref="I29:I36" si="5">G29/7.5345</f>
        <v>4268.9959519543427</v>
      </c>
      <c r="J29" s="91"/>
      <c r="K29" s="90">
        <v>3981.69</v>
      </c>
      <c r="L29" s="91"/>
      <c r="M29" s="90">
        <v>5400</v>
      </c>
      <c r="N29" s="91"/>
      <c r="O29" s="90">
        <v>387.68</v>
      </c>
      <c r="P29" s="91"/>
      <c r="Q29" s="71">
        <f t="shared" si="3"/>
        <v>9.0812922842552801</v>
      </c>
      <c r="R29" s="71">
        <f t="shared" si="1"/>
        <v>7.1792592592592586</v>
      </c>
    </row>
    <row r="30" spans="1:18" x14ac:dyDescent="0.25">
      <c r="A30" s="12">
        <v>3233</v>
      </c>
      <c r="B30" s="4" t="s">
        <v>101</v>
      </c>
      <c r="C30" s="4"/>
      <c r="D30" s="4"/>
      <c r="E30" s="4"/>
      <c r="F30" s="13"/>
      <c r="G30" s="90">
        <v>480</v>
      </c>
      <c r="H30" s="91"/>
      <c r="I30" s="90">
        <f t="shared" si="5"/>
        <v>63.706948039020503</v>
      </c>
      <c r="J30" s="91"/>
      <c r="K30" s="90">
        <v>132.72999999999999</v>
      </c>
      <c r="L30" s="91"/>
      <c r="M30" s="90">
        <v>127.44</v>
      </c>
      <c r="N30" s="91"/>
      <c r="O30" s="90">
        <v>63.72</v>
      </c>
      <c r="P30" s="91"/>
      <c r="Q30" s="71">
        <f t="shared" si="3"/>
        <v>100.02048750000002</v>
      </c>
      <c r="R30" s="71">
        <f t="shared" si="1"/>
        <v>50</v>
      </c>
    </row>
    <row r="31" spans="1:18" x14ac:dyDescent="0.25">
      <c r="A31" s="12">
        <v>3234</v>
      </c>
      <c r="B31" s="4" t="s">
        <v>100</v>
      </c>
      <c r="C31" s="4"/>
      <c r="D31" s="4"/>
      <c r="E31" s="4"/>
      <c r="F31" s="13"/>
      <c r="G31" s="90">
        <v>23791.49</v>
      </c>
      <c r="H31" s="91"/>
      <c r="I31" s="90">
        <f t="shared" si="5"/>
        <v>3157.6733691684917</v>
      </c>
      <c r="J31" s="91"/>
      <c r="K31" s="90">
        <v>7299.76</v>
      </c>
      <c r="L31" s="91"/>
      <c r="M31" s="90">
        <v>7500</v>
      </c>
      <c r="N31" s="91"/>
      <c r="O31" s="90">
        <v>3870.44</v>
      </c>
      <c r="P31" s="91"/>
      <c r="Q31" s="71">
        <f t="shared" si="3"/>
        <v>122.572525638369</v>
      </c>
      <c r="R31" s="71">
        <f t="shared" si="1"/>
        <v>51.605866666666664</v>
      </c>
    </row>
    <row r="32" spans="1:18" x14ac:dyDescent="0.25">
      <c r="A32" s="12">
        <v>3235</v>
      </c>
      <c r="B32" s="4" t="s">
        <v>76</v>
      </c>
      <c r="C32" s="4"/>
      <c r="D32" s="4"/>
      <c r="E32" s="4"/>
      <c r="F32" s="13"/>
      <c r="G32" s="90">
        <v>5129.88</v>
      </c>
      <c r="H32" s="91"/>
      <c r="I32" s="90">
        <f t="shared" si="5"/>
        <v>680.85208043002183</v>
      </c>
      <c r="J32" s="91"/>
      <c r="K32" s="90">
        <v>1061.79</v>
      </c>
      <c r="L32" s="91"/>
      <c r="M32" s="90">
        <v>1800</v>
      </c>
      <c r="N32" s="91"/>
      <c r="O32" s="90">
        <v>752.03</v>
      </c>
      <c r="P32" s="91"/>
      <c r="Q32" s="71">
        <f t="shared" si="3"/>
        <v>110.45424132728252</v>
      </c>
      <c r="R32" s="71">
        <f t="shared" si="1"/>
        <v>41.779444444444444</v>
      </c>
    </row>
    <row r="33" spans="1:18" x14ac:dyDescent="0.25">
      <c r="A33" s="12">
        <v>3236</v>
      </c>
      <c r="B33" s="4" t="s">
        <v>77</v>
      </c>
      <c r="C33" s="4"/>
      <c r="D33" s="4"/>
      <c r="E33" s="4"/>
      <c r="F33" s="13"/>
      <c r="G33" s="90">
        <v>2327</v>
      </c>
      <c r="H33" s="91"/>
      <c r="I33" s="90">
        <f t="shared" si="5"/>
        <v>308.84597518083478</v>
      </c>
      <c r="J33" s="91"/>
      <c r="K33" s="90">
        <v>4300.22</v>
      </c>
      <c r="L33" s="91"/>
      <c r="M33" s="90">
        <v>4300</v>
      </c>
      <c r="N33" s="91"/>
      <c r="O33" s="90">
        <v>133.66</v>
      </c>
      <c r="P33" s="91"/>
      <c r="Q33" s="71">
        <f t="shared" si="3"/>
        <v>43.277235496347231</v>
      </c>
      <c r="R33" s="71">
        <f t="shared" si="1"/>
        <v>3.1083720930232555</v>
      </c>
    </row>
    <row r="34" spans="1:18" x14ac:dyDescent="0.25">
      <c r="A34" s="12">
        <v>3237</v>
      </c>
      <c r="B34" s="4" t="s">
        <v>78</v>
      </c>
      <c r="C34" s="4"/>
      <c r="D34" s="4"/>
      <c r="E34" s="4"/>
      <c r="F34" s="13"/>
      <c r="G34" s="90">
        <v>16500</v>
      </c>
      <c r="H34" s="91"/>
      <c r="I34" s="90">
        <f t="shared" si="5"/>
        <v>2189.9263388413297</v>
      </c>
      <c r="J34" s="91"/>
      <c r="K34" s="90">
        <v>2654.46</v>
      </c>
      <c r="L34" s="91"/>
      <c r="M34" s="90">
        <v>2700</v>
      </c>
      <c r="N34" s="91"/>
      <c r="O34" s="90">
        <v>1683.5</v>
      </c>
      <c r="P34" s="91"/>
      <c r="Q34" s="71">
        <f t="shared" si="3"/>
        <v>76.874731818181829</v>
      </c>
      <c r="R34" s="71">
        <f t="shared" si="1"/>
        <v>62.351851851851848</v>
      </c>
    </row>
    <row r="35" spans="1:18" x14ac:dyDescent="0.25">
      <c r="A35" s="12">
        <v>3238</v>
      </c>
      <c r="B35" s="4" t="s">
        <v>79</v>
      </c>
      <c r="C35" s="4"/>
      <c r="D35" s="4"/>
      <c r="E35" s="4"/>
      <c r="F35" s="13"/>
      <c r="G35" s="90">
        <v>10080.879999999999</v>
      </c>
      <c r="H35" s="91"/>
      <c r="I35" s="90">
        <f t="shared" si="5"/>
        <v>1337.9627048908353</v>
      </c>
      <c r="J35" s="91"/>
      <c r="K35" s="90">
        <v>2654.46</v>
      </c>
      <c r="L35" s="91"/>
      <c r="M35" s="90">
        <v>5000</v>
      </c>
      <c r="N35" s="91"/>
      <c r="O35" s="90">
        <v>2006.82</v>
      </c>
      <c r="P35" s="91"/>
      <c r="Q35" s="71">
        <f t="shared" si="3"/>
        <v>149.99072789280302</v>
      </c>
      <c r="R35" s="71">
        <f t="shared" si="1"/>
        <v>40.136400000000002</v>
      </c>
    </row>
    <row r="36" spans="1:18" x14ac:dyDescent="0.25">
      <c r="A36" s="12">
        <v>3239</v>
      </c>
      <c r="B36" s="4" t="s">
        <v>80</v>
      </c>
      <c r="C36" s="4"/>
      <c r="D36" s="4"/>
      <c r="E36" s="4"/>
      <c r="F36" s="13"/>
      <c r="G36" s="90">
        <v>3996.5</v>
      </c>
      <c r="H36" s="91"/>
      <c r="I36" s="90">
        <f t="shared" si="5"/>
        <v>530.42670382905294</v>
      </c>
      <c r="J36" s="91"/>
      <c r="K36" s="90">
        <v>1327.23</v>
      </c>
      <c r="L36" s="91"/>
      <c r="M36" s="90">
        <v>2000</v>
      </c>
      <c r="N36" s="91"/>
      <c r="O36" s="90">
        <v>706.3</v>
      </c>
      <c r="P36" s="91"/>
      <c r="Q36" s="71">
        <f t="shared" si="3"/>
        <v>133.15694607781811</v>
      </c>
      <c r="R36" s="71">
        <f t="shared" si="1"/>
        <v>35.314999999999998</v>
      </c>
    </row>
    <row r="37" spans="1:18" x14ac:dyDescent="0.25">
      <c r="A37" s="21">
        <v>329</v>
      </c>
      <c r="B37" s="5" t="s">
        <v>117</v>
      </c>
      <c r="C37" s="5"/>
      <c r="D37" s="5"/>
      <c r="E37" s="5"/>
      <c r="F37" s="22"/>
      <c r="G37" s="279">
        <f>SUM(G38:H41)</f>
        <v>8622.6</v>
      </c>
      <c r="H37" s="280"/>
      <c r="I37" s="279">
        <f>SUM(I38:J41)</f>
        <v>1144.4156878359545</v>
      </c>
      <c r="J37" s="280"/>
      <c r="K37" s="279">
        <f>SUM(K38:L41)</f>
        <v>3761.7799999999997</v>
      </c>
      <c r="L37" s="280"/>
      <c r="M37" s="279">
        <f>SUM(M38:N41)</f>
        <v>6530.98</v>
      </c>
      <c r="N37" s="280"/>
      <c r="O37" s="279">
        <f>SUM(O38:P41)</f>
        <v>1617.54</v>
      </c>
      <c r="P37" s="280"/>
      <c r="Q37" s="56">
        <f t="shared" si="3"/>
        <v>141.34199812121636</v>
      </c>
      <c r="R37" s="56">
        <f t="shared" si="1"/>
        <v>24.767186547807526</v>
      </c>
    </row>
    <row r="38" spans="1:18" x14ac:dyDescent="0.25">
      <c r="A38" s="12">
        <v>3292</v>
      </c>
      <c r="B38" s="4" t="s">
        <v>83</v>
      </c>
      <c r="C38" s="4"/>
      <c r="D38" s="4"/>
      <c r="E38" s="4"/>
      <c r="F38" s="13"/>
      <c r="G38" s="90">
        <v>573.29999999999995</v>
      </c>
      <c r="H38" s="91"/>
      <c r="I38" s="90">
        <f t="shared" ref="I38:I41" si="6">G38/7.5345</f>
        <v>76.089986064105105</v>
      </c>
      <c r="J38" s="91"/>
      <c r="K38" s="90">
        <v>530.9</v>
      </c>
      <c r="L38" s="91"/>
      <c r="M38" s="90">
        <v>530.9</v>
      </c>
      <c r="N38" s="91"/>
      <c r="O38" s="90">
        <v>0</v>
      </c>
      <c r="P38" s="91"/>
      <c r="Q38" s="71">
        <f t="shared" si="3"/>
        <v>0</v>
      </c>
      <c r="R38" s="71">
        <f t="shared" si="1"/>
        <v>0</v>
      </c>
    </row>
    <row r="39" spans="1:18" x14ac:dyDescent="0.25">
      <c r="A39" s="12">
        <v>3293</v>
      </c>
      <c r="B39" s="4" t="s">
        <v>84</v>
      </c>
      <c r="C39" s="4"/>
      <c r="D39" s="4"/>
      <c r="E39" s="4"/>
      <c r="F39" s="13"/>
      <c r="G39" s="90">
        <v>0</v>
      </c>
      <c r="H39" s="91"/>
      <c r="I39" s="90">
        <f t="shared" si="6"/>
        <v>0</v>
      </c>
      <c r="J39" s="91"/>
      <c r="K39" s="90">
        <v>398.18</v>
      </c>
      <c r="L39" s="91"/>
      <c r="M39" s="90">
        <v>400</v>
      </c>
      <c r="N39" s="91"/>
      <c r="O39" s="90">
        <v>350</v>
      </c>
      <c r="P39" s="91"/>
      <c r="Q39" s="71" t="e">
        <f t="shared" si="3"/>
        <v>#DIV/0!</v>
      </c>
      <c r="R39" s="71">
        <f t="shared" si="1"/>
        <v>87.5</v>
      </c>
    </row>
    <row r="40" spans="1:18" x14ac:dyDescent="0.25">
      <c r="A40" s="12">
        <v>3294</v>
      </c>
      <c r="B40" s="4" t="s">
        <v>85</v>
      </c>
      <c r="C40" s="4"/>
      <c r="D40" s="4"/>
      <c r="E40" s="4"/>
      <c r="F40" s="13"/>
      <c r="G40" s="90">
        <v>250</v>
      </c>
      <c r="H40" s="91"/>
      <c r="I40" s="90">
        <f t="shared" si="6"/>
        <v>33.180702103656515</v>
      </c>
      <c r="J40" s="91"/>
      <c r="K40" s="90">
        <v>66.37</v>
      </c>
      <c r="L40" s="91"/>
      <c r="M40" s="90">
        <v>70</v>
      </c>
      <c r="N40" s="91"/>
      <c r="O40" s="90">
        <v>0</v>
      </c>
      <c r="P40" s="91"/>
      <c r="Q40" s="71">
        <f t="shared" si="3"/>
        <v>0</v>
      </c>
      <c r="R40" s="71">
        <f t="shared" si="1"/>
        <v>0</v>
      </c>
    </row>
    <row r="41" spans="1:18" x14ac:dyDescent="0.25">
      <c r="A41" s="12">
        <v>3299</v>
      </c>
      <c r="B41" s="4" t="s">
        <v>81</v>
      </c>
      <c r="C41" s="4"/>
      <c r="D41" s="4"/>
      <c r="E41" s="4"/>
      <c r="F41" s="13"/>
      <c r="G41" s="90">
        <v>7799.3</v>
      </c>
      <c r="H41" s="91"/>
      <c r="I41" s="90">
        <f t="shared" si="6"/>
        <v>1035.1449996681929</v>
      </c>
      <c r="J41" s="91"/>
      <c r="K41" s="90">
        <v>2766.33</v>
      </c>
      <c r="L41" s="91"/>
      <c r="M41" s="90">
        <v>5530.08</v>
      </c>
      <c r="N41" s="91"/>
      <c r="O41" s="90">
        <v>1267.54</v>
      </c>
      <c r="P41" s="91"/>
      <c r="Q41" s="71">
        <f t="shared" si="3"/>
        <v>122.45047799161463</v>
      </c>
      <c r="R41" s="71">
        <f t="shared" si="1"/>
        <v>22.920825738506494</v>
      </c>
    </row>
    <row r="42" spans="1:18" x14ac:dyDescent="0.25">
      <c r="A42" s="252" t="s">
        <v>119</v>
      </c>
      <c r="B42" s="253"/>
      <c r="C42" s="253"/>
      <c r="D42" s="253"/>
      <c r="E42" s="253"/>
      <c r="F42" s="254"/>
      <c r="G42" s="255">
        <f>G44</f>
        <v>60638.23</v>
      </c>
      <c r="H42" s="256"/>
      <c r="I42" s="255">
        <f>I44</f>
        <v>8048.0761828920304</v>
      </c>
      <c r="J42" s="256"/>
      <c r="K42" s="255">
        <f t="shared" ref="K42:M42" si="7">K44</f>
        <v>0</v>
      </c>
      <c r="L42" s="256"/>
      <c r="M42" s="255">
        <f t="shared" si="7"/>
        <v>0</v>
      </c>
      <c r="N42" s="256"/>
      <c r="O42" s="255">
        <f t="shared" ref="O42" si="8">O44</f>
        <v>0</v>
      </c>
      <c r="P42" s="256"/>
      <c r="Q42" s="243">
        <f>O42/I42*100</f>
        <v>0</v>
      </c>
      <c r="R42" s="243" t="e">
        <f t="shared" ref="R42:R43" si="9">O42/M42*100</f>
        <v>#DIV/0!</v>
      </c>
    </row>
    <row r="43" spans="1:18" x14ac:dyDescent="0.25">
      <c r="A43" s="245" t="s">
        <v>118</v>
      </c>
      <c r="B43" s="246"/>
      <c r="C43" s="246"/>
      <c r="D43" s="246"/>
      <c r="E43" s="246"/>
      <c r="F43" s="247"/>
      <c r="G43" s="257"/>
      <c r="H43" s="258"/>
      <c r="I43" s="257"/>
      <c r="J43" s="258"/>
      <c r="K43" s="257"/>
      <c r="L43" s="258"/>
      <c r="M43" s="257"/>
      <c r="N43" s="258"/>
      <c r="O43" s="257"/>
      <c r="P43" s="258"/>
      <c r="Q43" s="244"/>
      <c r="R43" s="244" t="e">
        <f t="shared" si="9"/>
        <v>#DIV/0!</v>
      </c>
    </row>
    <row r="44" spans="1:18" x14ac:dyDescent="0.25">
      <c r="A44" s="11">
        <v>4221</v>
      </c>
      <c r="B44" s="46" t="s">
        <v>104</v>
      </c>
      <c r="C44" s="46"/>
      <c r="D44" s="46"/>
      <c r="E44" s="46"/>
      <c r="F44" s="47"/>
      <c r="G44" s="241">
        <v>60638.23</v>
      </c>
      <c r="H44" s="242"/>
      <c r="I44" s="241">
        <f>G44/7.5345</f>
        <v>8048.0761828920304</v>
      </c>
      <c r="J44" s="242"/>
      <c r="K44" s="241"/>
      <c r="L44" s="242"/>
      <c r="M44" s="241"/>
      <c r="N44" s="242"/>
      <c r="O44" s="241"/>
      <c r="P44" s="242"/>
      <c r="Q44" s="63">
        <f>O44/I44*100</f>
        <v>0</v>
      </c>
      <c r="R44" s="63" t="e">
        <f>O44/M44*100</f>
        <v>#DIV/0!</v>
      </c>
    </row>
    <row r="45" spans="1:18" x14ac:dyDescent="0.25">
      <c r="A45" s="252" t="s">
        <v>120</v>
      </c>
      <c r="B45" s="253"/>
      <c r="C45" s="253"/>
      <c r="D45" s="253"/>
      <c r="E45" s="253"/>
      <c r="F45" s="254"/>
      <c r="G45" s="255">
        <f>G47</f>
        <v>0</v>
      </c>
      <c r="H45" s="256"/>
      <c r="I45" s="255">
        <f>I47</f>
        <v>0</v>
      </c>
      <c r="J45" s="256"/>
      <c r="K45" s="255">
        <f t="shared" ref="K45:M45" si="10">K47</f>
        <v>0</v>
      </c>
      <c r="L45" s="256"/>
      <c r="M45" s="255">
        <f t="shared" si="10"/>
        <v>0</v>
      </c>
      <c r="N45" s="256"/>
      <c r="O45" s="255">
        <f t="shared" ref="O45" si="11">O47</f>
        <v>0</v>
      </c>
      <c r="P45" s="256"/>
      <c r="Q45" s="243" t="e">
        <f>O45/I45*100</f>
        <v>#DIV/0!</v>
      </c>
      <c r="R45" s="243" t="e">
        <f t="shared" ref="R45:R46" si="12">O45/M45*100</f>
        <v>#DIV/0!</v>
      </c>
    </row>
    <row r="46" spans="1:18" x14ac:dyDescent="0.25">
      <c r="A46" s="245" t="s">
        <v>25</v>
      </c>
      <c r="B46" s="246"/>
      <c r="C46" s="246"/>
      <c r="D46" s="246"/>
      <c r="E46" s="246"/>
      <c r="F46" s="247"/>
      <c r="G46" s="257"/>
      <c r="H46" s="258"/>
      <c r="I46" s="257"/>
      <c r="J46" s="258"/>
      <c r="K46" s="257"/>
      <c r="L46" s="258"/>
      <c r="M46" s="257"/>
      <c r="N46" s="258"/>
      <c r="O46" s="257"/>
      <c r="P46" s="258"/>
      <c r="Q46" s="244"/>
      <c r="R46" s="244" t="e">
        <f t="shared" si="12"/>
        <v>#DIV/0!</v>
      </c>
    </row>
    <row r="47" spans="1:18" x14ac:dyDescent="0.25">
      <c r="A47" s="11">
        <v>4221</v>
      </c>
      <c r="B47" s="46" t="s">
        <v>104</v>
      </c>
      <c r="C47" s="46"/>
      <c r="D47" s="46"/>
      <c r="E47" s="46"/>
      <c r="F47" s="47"/>
      <c r="G47" s="241"/>
      <c r="H47" s="242"/>
      <c r="I47" s="241">
        <f>G47/7.5345</f>
        <v>0</v>
      </c>
      <c r="J47" s="242"/>
      <c r="K47" s="241"/>
      <c r="L47" s="242"/>
      <c r="M47" s="241"/>
      <c r="N47" s="242"/>
      <c r="O47" s="241"/>
      <c r="P47" s="242"/>
      <c r="Q47" s="63" t="e">
        <f>O47/I47*100</f>
        <v>#DIV/0!</v>
      </c>
      <c r="R47" s="63" t="e">
        <f>O47/M47*100</f>
        <v>#DIV/0!</v>
      </c>
    </row>
    <row r="48" spans="1:18" x14ac:dyDescent="0.25">
      <c r="A48" s="252" t="s">
        <v>121</v>
      </c>
      <c r="B48" s="253"/>
      <c r="C48" s="253"/>
      <c r="D48" s="253"/>
      <c r="E48" s="253"/>
      <c r="F48" s="254"/>
      <c r="G48" s="255">
        <f>SUM(G50:H53)</f>
        <v>5088772.87</v>
      </c>
      <c r="H48" s="256"/>
      <c r="I48" s="255">
        <f>SUM(I50:J53)</f>
        <v>675396.22669055662</v>
      </c>
      <c r="J48" s="256"/>
      <c r="K48" s="255">
        <f>SUM(K50:L53)</f>
        <v>1369832.1199999999</v>
      </c>
      <c r="L48" s="256"/>
      <c r="M48" s="255">
        <f t="shared" ref="M48" si="13">SUM(M50:N53)</f>
        <v>1496700</v>
      </c>
      <c r="N48" s="256"/>
      <c r="O48" s="255">
        <f t="shared" ref="O48" si="14">SUM(O50:P53)</f>
        <v>748072.82</v>
      </c>
      <c r="P48" s="256"/>
      <c r="Q48" s="243">
        <f>O48/I48*100</f>
        <v>110.76058622144794</v>
      </c>
      <c r="R48" s="243">
        <f t="shared" ref="R48:R49" si="15">O48/M48*100</f>
        <v>49.981480590632721</v>
      </c>
    </row>
    <row r="49" spans="1:18" x14ac:dyDescent="0.25">
      <c r="A49" s="245" t="s">
        <v>122</v>
      </c>
      <c r="B49" s="246"/>
      <c r="C49" s="246"/>
      <c r="D49" s="246"/>
      <c r="E49" s="246"/>
      <c r="F49" s="247"/>
      <c r="G49" s="257"/>
      <c r="H49" s="258"/>
      <c r="I49" s="257"/>
      <c r="J49" s="258"/>
      <c r="K49" s="257"/>
      <c r="L49" s="258"/>
      <c r="M49" s="257"/>
      <c r="N49" s="258"/>
      <c r="O49" s="257"/>
      <c r="P49" s="258"/>
      <c r="Q49" s="244"/>
      <c r="R49" s="244" t="e">
        <f t="shared" si="15"/>
        <v>#DIV/0!</v>
      </c>
    </row>
    <row r="50" spans="1:18" x14ac:dyDescent="0.25">
      <c r="A50" s="11">
        <v>3111</v>
      </c>
      <c r="B50" s="46" t="s">
        <v>58</v>
      </c>
      <c r="C50" s="46"/>
      <c r="D50" s="46"/>
      <c r="E50" s="46"/>
      <c r="F50" s="47"/>
      <c r="G50" s="241">
        <v>4263798.72</v>
      </c>
      <c r="H50" s="242"/>
      <c r="I50" s="241">
        <f>G50/7.5345</f>
        <v>565903.34063308768</v>
      </c>
      <c r="J50" s="242"/>
      <c r="K50" s="241">
        <v>1088327.03</v>
      </c>
      <c r="L50" s="242"/>
      <c r="M50" s="241">
        <v>1240000</v>
      </c>
      <c r="N50" s="242"/>
      <c r="O50" s="308">
        <v>621372.82999999996</v>
      </c>
      <c r="P50" s="309"/>
      <c r="Q50" s="63">
        <f>O50/I50*100</f>
        <v>109.80193707725023</v>
      </c>
      <c r="R50" s="63">
        <f>O50/M50*100</f>
        <v>50.110712096774193</v>
      </c>
    </row>
    <row r="51" spans="1:18" x14ac:dyDescent="0.25">
      <c r="A51" s="12">
        <v>3212</v>
      </c>
      <c r="B51" s="4" t="s">
        <v>59</v>
      </c>
      <c r="C51" s="4"/>
      <c r="D51" s="4"/>
      <c r="E51" s="4"/>
      <c r="F51" s="22"/>
      <c r="G51" s="90">
        <v>115064.16</v>
      </c>
      <c r="H51" s="91"/>
      <c r="I51" s="90">
        <f t="shared" ref="I51:I53" si="16">G51/7.5345</f>
        <v>15271.638463069878</v>
      </c>
      <c r="J51" s="91"/>
      <c r="K51" s="90">
        <v>59725.27</v>
      </c>
      <c r="L51" s="91"/>
      <c r="M51" s="90">
        <v>50000</v>
      </c>
      <c r="N51" s="91"/>
      <c r="O51" s="306">
        <v>23263.83</v>
      </c>
      <c r="P51" s="307"/>
      <c r="Q51" s="57">
        <f t="shared" ref="Q51:Q53" si="17">O51/I51*100</f>
        <v>152.33355645667601</v>
      </c>
      <c r="R51" s="57">
        <f t="shared" ref="R51:R53" si="18">O51/M51*100</f>
        <v>46.527660000000004</v>
      </c>
    </row>
    <row r="52" spans="1:18" x14ac:dyDescent="0.25">
      <c r="A52" s="12">
        <v>3132</v>
      </c>
      <c r="B52" s="4" t="s">
        <v>115</v>
      </c>
      <c r="C52" s="4"/>
      <c r="D52" s="4"/>
      <c r="E52" s="4"/>
      <c r="F52" s="22"/>
      <c r="G52" s="90">
        <v>703435.09</v>
      </c>
      <c r="H52" s="91"/>
      <c r="I52" s="90">
        <f t="shared" si="16"/>
        <v>93361.880682195231</v>
      </c>
      <c r="J52" s="91"/>
      <c r="K52" s="90">
        <v>218992.64000000001</v>
      </c>
      <c r="L52" s="91"/>
      <c r="M52" s="90">
        <v>205000</v>
      </c>
      <c r="N52" s="91"/>
      <c r="O52" s="306">
        <v>102611.73</v>
      </c>
      <c r="P52" s="307"/>
      <c r="Q52" s="57">
        <f t="shared" si="17"/>
        <v>109.9075224815697</v>
      </c>
      <c r="R52" s="57">
        <f t="shared" si="18"/>
        <v>50.054502439024382</v>
      </c>
    </row>
    <row r="53" spans="1:18" x14ac:dyDescent="0.25">
      <c r="A53" s="12">
        <v>3295</v>
      </c>
      <c r="B53" s="4" t="s">
        <v>123</v>
      </c>
      <c r="C53" s="4"/>
      <c r="D53" s="4"/>
      <c r="E53" s="4"/>
      <c r="F53" s="22"/>
      <c r="G53" s="90">
        <v>6474.9</v>
      </c>
      <c r="H53" s="91"/>
      <c r="I53" s="90">
        <f t="shared" si="16"/>
        <v>859.36691220386217</v>
      </c>
      <c r="J53" s="91"/>
      <c r="K53" s="90">
        <v>2787.18</v>
      </c>
      <c r="L53" s="91"/>
      <c r="M53" s="90">
        <v>1700</v>
      </c>
      <c r="N53" s="91"/>
      <c r="O53" s="306">
        <v>824.43</v>
      </c>
      <c r="P53" s="307"/>
      <c r="Q53" s="57">
        <f t="shared" si="17"/>
        <v>95.934575591901037</v>
      </c>
      <c r="R53" s="57">
        <f t="shared" si="18"/>
        <v>48.495882352941173</v>
      </c>
    </row>
    <row r="54" spans="1:18" x14ac:dyDescent="0.25">
      <c r="A54" s="281" t="s">
        <v>125</v>
      </c>
      <c r="B54" s="282"/>
      <c r="C54" s="282"/>
      <c r="D54" s="282"/>
      <c r="E54" s="282"/>
      <c r="F54" s="283"/>
      <c r="G54" s="263">
        <f>G55+G61+G100+G103+G106+G109</f>
        <v>55038.509999999995</v>
      </c>
      <c r="H54" s="264"/>
      <c r="I54" s="263">
        <f>I55+I61+I100+I103+I106+I109</f>
        <v>7304.8656181564802</v>
      </c>
      <c r="J54" s="264"/>
      <c r="K54" s="263">
        <f>K55+K61+K100+K103+K106+K109</f>
        <v>24421.03</v>
      </c>
      <c r="L54" s="264"/>
      <c r="M54" s="263">
        <f>M55+M61+M100+M103+M106+M109</f>
        <v>68684.180000000008</v>
      </c>
      <c r="N54" s="264"/>
      <c r="O54" s="263">
        <f>O55+O61+O100+O103+O106+O109</f>
        <v>44165.7</v>
      </c>
      <c r="P54" s="264"/>
      <c r="Q54" s="64">
        <f t="shared" ref="Q54" si="19">O54/I54*100</f>
        <v>604.60660481179445</v>
      </c>
      <c r="R54" s="64">
        <f t="shared" ref="R54" si="20">O54/M54*100</f>
        <v>64.302580303062499</v>
      </c>
    </row>
    <row r="55" spans="1:18" x14ac:dyDescent="0.25">
      <c r="A55" s="245" t="s">
        <v>126</v>
      </c>
      <c r="B55" s="246"/>
      <c r="C55" s="246"/>
      <c r="D55" s="246"/>
      <c r="E55" s="246"/>
      <c r="F55" s="247"/>
      <c r="G55" s="267">
        <f t="shared" ref="G55" si="21">SUM(G57:H60)</f>
        <v>3197.27</v>
      </c>
      <c r="H55" s="268"/>
      <c r="I55" s="267">
        <f t="shared" ref="I55" si="22">SUM(I57:J60)</f>
        <v>424.35065365983144</v>
      </c>
      <c r="J55" s="268"/>
      <c r="K55" s="267">
        <f t="shared" ref="K55" si="23">SUM(K57:L60)</f>
        <v>0</v>
      </c>
      <c r="L55" s="268"/>
      <c r="M55" s="267">
        <f>SUM(M57:N60)</f>
        <v>1060</v>
      </c>
      <c r="N55" s="268"/>
      <c r="O55" s="267">
        <f>SUM(O57:P60)</f>
        <v>0</v>
      </c>
      <c r="P55" s="268"/>
      <c r="Q55" s="244">
        <f>O55/I55*100</f>
        <v>0</v>
      </c>
      <c r="R55" s="244">
        <f t="shared" ref="R55:R56" si="24">O55/M55*100</f>
        <v>0</v>
      </c>
    </row>
    <row r="56" spans="1:18" x14ac:dyDescent="0.25">
      <c r="A56" s="245" t="s">
        <v>127</v>
      </c>
      <c r="B56" s="246"/>
      <c r="C56" s="246"/>
      <c r="D56" s="246"/>
      <c r="E56" s="246"/>
      <c r="F56" s="247"/>
      <c r="G56" s="257"/>
      <c r="H56" s="258"/>
      <c r="I56" s="257"/>
      <c r="J56" s="258"/>
      <c r="K56" s="257"/>
      <c r="L56" s="258"/>
      <c r="M56" s="257"/>
      <c r="N56" s="258"/>
      <c r="O56" s="257"/>
      <c r="P56" s="258"/>
      <c r="Q56" s="244"/>
      <c r="R56" s="244" t="e">
        <f t="shared" si="24"/>
        <v>#DIV/0!</v>
      </c>
    </row>
    <row r="57" spans="1:18" x14ac:dyDescent="0.25">
      <c r="A57" s="11">
        <v>3211</v>
      </c>
      <c r="B57" s="46" t="s">
        <v>64</v>
      </c>
      <c r="C57" s="46"/>
      <c r="D57" s="46"/>
      <c r="E57" s="46"/>
      <c r="F57" s="47"/>
      <c r="G57" s="241"/>
      <c r="H57" s="242"/>
      <c r="I57" s="241"/>
      <c r="J57" s="242"/>
      <c r="K57" s="241"/>
      <c r="L57" s="242"/>
      <c r="M57" s="241">
        <v>265</v>
      </c>
      <c r="N57" s="242"/>
      <c r="O57" s="241"/>
      <c r="P57" s="242"/>
      <c r="Q57" s="80" t="e">
        <f t="shared" ref="Q57:Q59" si="25">O57/I57*100</f>
        <v>#DIV/0!</v>
      </c>
      <c r="R57" s="80">
        <f t="shared" ref="R57:R59" si="26">O57/M57*100</f>
        <v>0</v>
      </c>
    </row>
    <row r="58" spans="1:18" x14ac:dyDescent="0.25">
      <c r="A58" s="11">
        <v>3221</v>
      </c>
      <c r="B58" s="46" t="s">
        <v>68</v>
      </c>
      <c r="C58" s="46"/>
      <c r="D58" s="46"/>
      <c r="E58" s="46"/>
      <c r="F58" s="47"/>
      <c r="G58" s="241"/>
      <c r="H58" s="242"/>
      <c r="I58" s="241"/>
      <c r="J58" s="242"/>
      <c r="K58" s="241"/>
      <c r="L58" s="242"/>
      <c r="M58" s="241">
        <v>265</v>
      </c>
      <c r="N58" s="242"/>
      <c r="O58" s="241"/>
      <c r="P58" s="242"/>
      <c r="Q58" s="80" t="e">
        <f t="shared" si="25"/>
        <v>#DIV/0!</v>
      </c>
      <c r="R58" s="80">
        <f t="shared" si="26"/>
        <v>0</v>
      </c>
    </row>
    <row r="59" spans="1:18" x14ac:dyDescent="0.25">
      <c r="A59" s="11">
        <v>3239</v>
      </c>
      <c r="B59" s="46" t="s">
        <v>80</v>
      </c>
      <c r="C59" s="46"/>
      <c r="D59" s="46"/>
      <c r="E59" s="46"/>
      <c r="F59" s="47"/>
      <c r="G59" s="241"/>
      <c r="H59" s="242"/>
      <c r="I59" s="241"/>
      <c r="J59" s="242"/>
      <c r="K59" s="241"/>
      <c r="L59" s="242"/>
      <c r="M59" s="241">
        <v>265</v>
      </c>
      <c r="N59" s="242"/>
      <c r="O59" s="241"/>
      <c r="P59" s="242"/>
      <c r="Q59" s="80" t="e">
        <f t="shared" si="25"/>
        <v>#DIV/0!</v>
      </c>
      <c r="R59" s="80">
        <f t="shared" si="26"/>
        <v>0</v>
      </c>
    </row>
    <row r="60" spans="1:18" x14ac:dyDescent="0.25">
      <c r="A60" s="11">
        <v>3299</v>
      </c>
      <c r="B60" s="46" t="s">
        <v>81</v>
      </c>
      <c r="C60" s="46"/>
      <c r="D60" s="46"/>
      <c r="E60" s="46"/>
      <c r="F60" s="47"/>
      <c r="G60" s="241">
        <v>3197.27</v>
      </c>
      <c r="H60" s="242"/>
      <c r="I60" s="241">
        <f>G60/7.5345</f>
        <v>424.35065365983144</v>
      </c>
      <c r="J60" s="242"/>
      <c r="K60" s="241"/>
      <c r="L60" s="242"/>
      <c r="M60" s="241">
        <v>265</v>
      </c>
      <c r="N60" s="242"/>
      <c r="O60" s="241"/>
      <c r="P60" s="242"/>
      <c r="Q60" s="63">
        <f>O60/I60*100</f>
        <v>0</v>
      </c>
      <c r="R60" s="63">
        <f>O60/M60*100</f>
        <v>0</v>
      </c>
    </row>
    <row r="61" spans="1:18" x14ac:dyDescent="0.25">
      <c r="A61" s="252" t="s">
        <v>128</v>
      </c>
      <c r="B61" s="253"/>
      <c r="C61" s="253"/>
      <c r="D61" s="253"/>
      <c r="E61" s="253"/>
      <c r="F61" s="254"/>
      <c r="G61" s="257">
        <f>G63+G67+G70+G80+G82+G84+G86</f>
        <v>51841.24</v>
      </c>
      <c r="H61" s="258"/>
      <c r="I61" s="257">
        <f>I63+I67+I70+I80+I82+I84+I86</f>
        <v>6880.5149644966486</v>
      </c>
      <c r="J61" s="258"/>
      <c r="K61" s="257">
        <f>K63+K67+K70+K80+K82+K84+K86</f>
        <v>24421.03</v>
      </c>
      <c r="L61" s="258"/>
      <c r="M61" s="257">
        <f>M63+M67+M70+M80+M82+M84+M86</f>
        <v>63836.490000000005</v>
      </c>
      <c r="N61" s="258"/>
      <c r="O61" s="257">
        <f>O63+O67+O70+O80+O82+O84+O86</f>
        <v>40709.839999999997</v>
      </c>
      <c r="P61" s="258"/>
      <c r="Q61" s="243">
        <f>O61/I61*100</f>
        <v>591.66850461138654</v>
      </c>
      <c r="R61" s="243">
        <f>O61/M61*100</f>
        <v>63.772052630086641</v>
      </c>
    </row>
    <row r="62" spans="1:18" x14ac:dyDescent="0.25">
      <c r="A62" s="311"/>
      <c r="B62" s="312"/>
      <c r="C62" s="312"/>
      <c r="D62" s="312"/>
      <c r="E62" s="312"/>
      <c r="F62" s="313"/>
      <c r="G62" s="267"/>
      <c r="H62" s="268"/>
      <c r="I62" s="267"/>
      <c r="J62" s="268"/>
      <c r="K62" s="267"/>
      <c r="L62" s="268"/>
      <c r="M62" s="267"/>
      <c r="N62" s="268"/>
      <c r="O62" s="267"/>
      <c r="P62" s="268"/>
      <c r="Q62" s="310"/>
      <c r="R62" s="310"/>
    </row>
    <row r="63" spans="1:18" x14ac:dyDescent="0.25">
      <c r="A63" s="252" t="s">
        <v>136</v>
      </c>
      <c r="B63" s="253"/>
      <c r="C63" s="253"/>
      <c r="D63" s="253"/>
      <c r="E63" s="253"/>
      <c r="F63" s="254"/>
      <c r="G63" s="257">
        <f>G64+G65+G66</f>
        <v>2712.21</v>
      </c>
      <c r="H63" s="258"/>
      <c r="I63" s="257">
        <f>I64+I65+I66</f>
        <v>359.97212821023294</v>
      </c>
      <c r="J63" s="258"/>
      <c r="K63" s="257">
        <f t="shared" ref="K63" si="27">K64+K65+K66</f>
        <v>1592.68</v>
      </c>
      <c r="L63" s="258"/>
      <c r="M63" s="257">
        <f t="shared" ref="M63" si="28">M64+M65+M66</f>
        <v>3000</v>
      </c>
      <c r="N63" s="258"/>
      <c r="O63" s="257">
        <f t="shared" ref="O63" si="29">O64+O65+O66</f>
        <v>0</v>
      </c>
      <c r="P63" s="258"/>
      <c r="Q63" s="77">
        <f>O63/I63*100</f>
        <v>0</v>
      </c>
      <c r="R63" s="77">
        <f>O63/M63*100</f>
        <v>0</v>
      </c>
    </row>
    <row r="64" spans="1:18" x14ac:dyDescent="0.25">
      <c r="A64" s="29">
        <v>3222</v>
      </c>
      <c r="B64" s="3" t="s">
        <v>99</v>
      </c>
      <c r="C64" s="3"/>
      <c r="D64" s="3"/>
      <c r="E64" s="3"/>
      <c r="F64" s="30"/>
      <c r="G64" s="250">
        <v>2712.21</v>
      </c>
      <c r="H64" s="251"/>
      <c r="I64" s="250">
        <f>G64/7.5345</f>
        <v>359.97212821023294</v>
      </c>
      <c r="J64" s="251"/>
      <c r="K64" s="250">
        <v>796.34</v>
      </c>
      <c r="L64" s="251"/>
      <c r="M64" s="250">
        <v>1500</v>
      </c>
      <c r="N64" s="251"/>
      <c r="O64" s="250"/>
      <c r="P64" s="251"/>
      <c r="Q64" s="63">
        <f>O64/I64*100</f>
        <v>0</v>
      </c>
      <c r="R64" s="63">
        <f>O64/M64*100</f>
        <v>0</v>
      </c>
    </row>
    <row r="65" spans="1:18" x14ac:dyDescent="0.25">
      <c r="A65" s="12">
        <v>4221</v>
      </c>
      <c r="B65" s="4" t="s">
        <v>114</v>
      </c>
      <c r="C65" s="4"/>
      <c r="D65" s="4"/>
      <c r="E65" s="4"/>
      <c r="F65" s="22"/>
      <c r="G65" s="90"/>
      <c r="H65" s="91"/>
      <c r="I65" s="90">
        <f t="shared" ref="I65:I66" si="30">G65/7.5345</f>
        <v>0</v>
      </c>
      <c r="J65" s="91"/>
      <c r="K65" s="90">
        <v>796.34</v>
      </c>
      <c r="L65" s="91"/>
      <c r="M65" s="90">
        <v>1500</v>
      </c>
      <c r="N65" s="91"/>
      <c r="O65" s="90"/>
      <c r="P65" s="91"/>
      <c r="Q65" s="57" t="e">
        <f t="shared" ref="Q65:Q99" si="31">O65/I65*100</f>
        <v>#DIV/0!</v>
      </c>
      <c r="R65" s="57">
        <f t="shared" ref="R65:R101" si="32">O65/M65*100</f>
        <v>0</v>
      </c>
    </row>
    <row r="66" spans="1:18" x14ac:dyDescent="0.25">
      <c r="A66" s="12">
        <v>4223</v>
      </c>
      <c r="B66" s="4" t="s">
        <v>92</v>
      </c>
      <c r="C66" s="4"/>
      <c r="D66" s="4"/>
      <c r="E66" s="4"/>
      <c r="F66" s="22"/>
      <c r="G66" s="259"/>
      <c r="H66" s="260"/>
      <c r="I66" s="90">
        <f t="shared" si="30"/>
        <v>0</v>
      </c>
      <c r="J66" s="91"/>
      <c r="K66" s="259"/>
      <c r="L66" s="260"/>
      <c r="M66" s="259"/>
      <c r="N66" s="260"/>
      <c r="O66" s="259"/>
      <c r="P66" s="260"/>
      <c r="Q66" s="57" t="e">
        <f t="shared" si="31"/>
        <v>#DIV/0!</v>
      </c>
      <c r="R66" s="57" t="e">
        <f t="shared" si="32"/>
        <v>#DIV/0!</v>
      </c>
    </row>
    <row r="67" spans="1:18" x14ac:dyDescent="0.25">
      <c r="A67" s="252" t="s">
        <v>133</v>
      </c>
      <c r="B67" s="253"/>
      <c r="C67" s="253"/>
      <c r="D67" s="253"/>
      <c r="E67" s="253"/>
      <c r="F67" s="254"/>
      <c r="G67" s="257">
        <f>G68+G69</f>
        <v>0</v>
      </c>
      <c r="H67" s="258"/>
      <c r="I67" s="257">
        <f>I68+I69</f>
        <v>0</v>
      </c>
      <c r="J67" s="258"/>
      <c r="K67" s="257">
        <f t="shared" ref="K67:M67" si="33">K68</f>
        <v>1061.79</v>
      </c>
      <c r="L67" s="258"/>
      <c r="M67" s="257">
        <f t="shared" si="33"/>
        <v>600</v>
      </c>
      <c r="N67" s="258"/>
      <c r="O67" s="257">
        <f t="shared" ref="O67" si="34">O68</f>
        <v>0</v>
      </c>
      <c r="P67" s="258"/>
      <c r="Q67" s="65" t="e">
        <f t="shared" si="31"/>
        <v>#DIV/0!</v>
      </c>
      <c r="R67" s="65">
        <f t="shared" si="32"/>
        <v>0</v>
      </c>
    </row>
    <row r="68" spans="1:18" x14ac:dyDescent="0.25">
      <c r="A68" s="29">
        <v>3221</v>
      </c>
      <c r="B68" s="3" t="s">
        <v>68</v>
      </c>
      <c r="C68" s="3"/>
      <c r="D68" s="3"/>
      <c r="E68" s="3"/>
      <c r="F68" s="30"/>
      <c r="G68" s="269"/>
      <c r="H68" s="270"/>
      <c r="I68" s="250">
        <f>G68/7.5345</f>
        <v>0</v>
      </c>
      <c r="J68" s="251"/>
      <c r="K68" s="248">
        <v>1061.79</v>
      </c>
      <c r="L68" s="249"/>
      <c r="M68" s="248">
        <v>600</v>
      </c>
      <c r="N68" s="249"/>
      <c r="O68" s="248"/>
      <c r="P68" s="249"/>
      <c r="Q68" s="63" t="e">
        <f t="shared" si="31"/>
        <v>#DIV/0!</v>
      </c>
      <c r="R68" s="63">
        <f t="shared" si="32"/>
        <v>0</v>
      </c>
    </row>
    <row r="69" spans="1:18" x14ac:dyDescent="0.25">
      <c r="A69" s="12">
        <v>3291</v>
      </c>
      <c r="B69" s="4" t="s">
        <v>131</v>
      </c>
      <c r="C69" s="4"/>
      <c r="D69" s="4"/>
      <c r="E69" s="4"/>
      <c r="F69" s="22"/>
      <c r="G69" s="90"/>
      <c r="H69" s="91"/>
      <c r="I69" s="90">
        <f t="shared" ref="I69" si="35">G69/7.5345</f>
        <v>0</v>
      </c>
      <c r="J69" s="91"/>
      <c r="K69" s="90"/>
      <c r="L69" s="91"/>
      <c r="M69" s="90"/>
      <c r="N69" s="91"/>
      <c r="O69" s="90"/>
      <c r="P69" s="91"/>
      <c r="Q69" s="57" t="e">
        <f t="shared" ref="Q69:Q70" si="36">O69/I69*100</f>
        <v>#DIV/0!</v>
      </c>
      <c r="R69" s="57" t="e">
        <f t="shared" ref="R69:R70" si="37">O69/M69*100</f>
        <v>#DIV/0!</v>
      </c>
    </row>
    <row r="70" spans="1:18" x14ac:dyDescent="0.25">
      <c r="A70" s="252" t="s">
        <v>129</v>
      </c>
      <c r="B70" s="253"/>
      <c r="C70" s="253"/>
      <c r="D70" s="253"/>
      <c r="E70" s="253"/>
      <c r="F70" s="254"/>
      <c r="G70" s="257">
        <f>SUM(G71:H79)</f>
        <v>35119</v>
      </c>
      <c r="H70" s="258"/>
      <c r="I70" s="257">
        <f>SUM(I71:J79)</f>
        <v>4661.0923087132524</v>
      </c>
      <c r="J70" s="258"/>
      <c r="K70" s="257">
        <f t="shared" ref="K70" si="38">SUM(K71:L79)</f>
        <v>16988.53</v>
      </c>
      <c r="L70" s="258"/>
      <c r="M70" s="257">
        <f>SUM(M71:N79)</f>
        <v>40161.4</v>
      </c>
      <c r="N70" s="258"/>
      <c r="O70" s="257">
        <f t="shared" ref="O70" si="39">SUM(O71:P79)</f>
        <v>32100.32</v>
      </c>
      <c r="P70" s="258"/>
      <c r="Q70" s="65">
        <f t="shared" si="36"/>
        <v>688.68663982459634</v>
      </c>
      <c r="R70" s="65">
        <f t="shared" si="37"/>
        <v>79.928289352462812</v>
      </c>
    </row>
    <row r="71" spans="1:18" x14ac:dyDescent="0.25">
      <c r="A71" s="29">
        <v>3111</v>
      </c>
      <c r="B71" s="3" t="s">
        <v>130</v>
      </c>
      <c r="C71" s="3"/>
      <c r="D71" s="3"/>
      <c r="E71" s="3"/>
      <c r="F71" s="30"/>
      <c r="G71" s="250"/>
      <c r="H71" s="251"/>
      <c r="I71" s="250">
        <f>G71/7.5345</f>
        <v>0</v>
      </c>
      <c r="J71" s="251"/>
      <c r="K71" s="250"/>
      <c r="L71" s="251"/>
      <c r="M71" s="250">
        <v>11147.39</v>
      </c>
      <c r="N71" s="251"/>
      <c r="O71" s="250">
        <v>11147.39</v>
      </c>
      <c r="P71" s="251"/>
      <c r="Q71" s="63" t="e">
        <f t="shared" si="31"/>
        <v>#DIV/0!</v>
      </c>
      <c r="R71" s="63">
        <f t="shared" si="32"/>
        <v>100</v>
      </c>
    </row>
    <row r="72" spans="1:18" x14ac:dyDescent="0.25">
      <c r="A72" s="12">
        <v>3121</v>
      </c>
      <c r="B72" s="4" t="s">
        <v>59</v>
      </c>
      <c r="C72" s="4"/>
      <c r="D72" s="4"/>
      <c r="E72" s="4"/>
      <c r="F72" s="13"/>
      <c r="G72" s="90"/>
      <c r="H72" s="91"/>
      <c r="I72" s="90">
        <f t="shared" ref="I72:I79" si="40">G72/7.5345</f>
        <v>0</v>
      </c>
      <c r="J72" s="91"/>
      <c r="K72" s="90"/>
      <c r="L72" s="91"/>
      <c r="M72" s="90"/>
      <c r="N72" s="91"/>
      <c r="O72" s="90"/>
      <c r="P72" s="91"/>
      <c r="Q72" s="57" t="e">
        <f t="shared" si="31"/>
        <v>#DIV/0!</v>
      </c>
      <c r="R72" s="57" t="e">
        <f t="shared" si="32"/>
        <v>#DIV/0!</v>
      </c>
    </row>
    <row r="73" spans="1:18" x14ac:dyDescent="0.25">
      <c r="A73" s="12">
        <v>3231</v>
      </c>
      <c r="B73" s="4" t="s">
        <v>74</v>
      </c>
      <c r="C73" s="4"/>
      <c r="D73" s="4"/>
      <c r="E73" s="4"/>
      <c r="F73" s="13"/>
      <c r="G73" s="90">
        <v>28049</v>
      </c>
      <c r="H73" s="91"/>
      <c r="I73" s="90">
        <f t="shared" si="40"/>
        <v>3722.7420532218462</v>
      </c>
      <c r="J73" s="91"/>
      <c r="K73" s="90">
        <v>15926.74</v>
      </c>
      <c r="L73" s="91"/>
      <c r="M73" s="90">
        <v>25000</v>
      </c>
      <c r="N73" s="91"/>
      <c r="O73" s="90">
        <v>18088.919999999998</v>
      </c>
      <c r="P73" s="91"/>
      <c r="Q73" s="57">
        <f t="shared" si="31"/>
        <v>485.90312574423319</v>
      </c>
      <c r="R73" s="57">
        <f t="shared" si="32"/>
        <v>72.355679999999992</v>
      </c>
    </row>
    <row r="74" spans="1:18" x14ac:dyDescent="0.25">
      <c r="A74" s="12">
        <v>3236</v>
      </c>
      <c r="B74" s="4" t="s">
        <v>112</v>
      </c>
      <c r="C74" s="4"/>
      <c r="D74" s="4"/>
      <c r="E74" s="4"/>
      <c r="F74" s="13"/>
      <c r="G74" s="90">
        <v>7070</v>
      </c>
      <c r="H74" s="91"/>
      <c r="I74" s="90">
        <f t="shared" si="40"/>
        <v>938.35025549140619</v>
      </c>
      <c r="J74" s="91"/>
      <c r="K74" s="90"/>
      <c r="L74" s="91"/>
      <c r="M74" s="90"/>
      <c r="N74" s="91"/>
      <c r="O74" s="90"/>
      <c r="P74" s="91"/>
      <c r="Q74" s="57">
        <f t="shared" si="31"/>
        <v>0</v>
      </c>
      <c r="R74" s="57" t="e">
        <f t="shared" si="32"/>
        <v>#DIV/0!</v>
      </c>
    </row>
    <row r="75" spans="1:18" x14ac:dyDescent="0.25">
      <c r="A75" s="12">
        <v>3237</v>
      </c>
      <c r="B75" s="4" t="s">
        <v>78</v>
      </c>
      <c r="C75" s="4"/>
      <c r="D75" s="4"/>
      <c r="E75" s="4"/>
      <c r="F75" s="13"/>
      <c r="G75" s="90"/>
      <c r="H75" s="91"/>
      <c r="I75" s="90">
        <f t="shared" si="40"/>
        <v>0</v>
      </c>
      <c r="J75" s="91"/>
      <c r="K75" s="90"/>
      <c r="L75" s="91"/>
      <c r="M75" s="90"/>
      <c r="N75" s="91"/>
      <c r="O75" s="90"/>
      <c r="P75" s="91"/>
      <c r="Q75" s="57" t="e">
        <f t="shared" ref="Q75" si="41">O75/I75*100</f>
        <v>#DIV/0!</v>
      </c>
      <c r="R75" s="57" t="e">
        <f t="shared" ref="R75" si="42">O75/M75*100</f>
        <v>#DIV/0!</v>
      </c>
    </row>
    <row r="76" spans="1:18" x14ac:dyDescent="0.25">
      <c r="A76" s="12">
        <v>3239</v>
      </c>
      <c r="B76" s="4" t="s">
        <v>80</v>
      </c>
      <c r="C76" s="4"/>
      <c r="D76" s="4"/>
      <c r="E76" s="4"/>
      <c r="F76" s="13"/>
      <c r="G76" s="90"/>
      <c r="H76" s="91"/>
      <c r="I76" s="90">
        <f t="shared" si="40"/>
        <v>0</v>
      </c>
      <c r="J76" s="91"/>
      <c r="K76" s="90"/>
      <c r="L76" s="91"/>
      <c r="M76" s="90"/>
      <c r="N76" s="91"/>
      <c r="O76" s="90"/>
      <c r="P76" s="91"/>
      <c r="Q76" s="57" t="e">
        <f t="shared" ref="Q76" si="43">O76/I76*100</f>
        <v>#DIV/0!</v>
      </c>
      <c r="R76" s="57" t="e">
        <f t="shared" ref="R76" si="44">O76/M76*100</f>
        <v>#DIV/0!</v>
      </c>
    </row>
    <row r="77" spans="1:18" x14ac:dyDescent="0.25">
      <c r="A77" s="12">
        <v>3291</v>
      </c>
      <c r="B77" s="4" t="s">
        <v>131</v>
      </c>
      <c r="C77" s="4"/>
      <c r="D77" s="4"/>
      <c r="E77" s="4"/>
      <c r="F77" s="13"/>
      <c r="G77" s="90"/>
      <c r="H77" s="91"/>
      <c r="I77" s="90">
        <f t="shared" si="40"/>
        <v>0</v>
      </c>
      <c r="J77" s="91"/>
      <c r="K77" s="90">
        <v>132.72999999999999</v>
      </c>
      <c r="L77" s="91"/>
      <c r="M77" s="90">
        <v>150</v>
      </c>
      <c r="N77" s="91"/>
      <c r="O77" s="90"/>
      <c r="P77" s="91"/>
      <c r="Q77" s="57" t="e">
        <f t="shared" si="31"/>
        <v>#DIV/0!</v>
      </c>
      <c r="R77" s="57">
        <f t="shared" si="32"/>
        <v>0</v>
      </c>
    </row>
    <row r="78" spans="1:18" x14ac:dyDescent="0.25">
      <c r="A78" s="12">
        <v>3296</v>
      </c>
      <c r="B78" s="4" t="s">
        <v>87</v>
      </c>
      <c r="C78" s="4"/>
      <c r="D78" s="4"/>
      <c r="E78" s="4"/>
      <c r="F78" s="13"/>
      <c r="G78" s="90"/>
      <c r="H78" s="91"/>
      <c r="I78" s="90">
        <f t="shared" si="40"/>
        <v>0</v>
      </c>
      <c r="J78" s="91"/>
      <c r="K78" s="90"/>
      <c r="L78" s="91"/>
      <c r="M78" s="90">
        <v>2864.01</v>
      </c>
      <c r="N78" s="91"/>
      <c r="O78" s="90">
        <v>2864.01</v>
      </c>
      <c r="P78" s="91"/>
      <c r="Q78" s="57" t="e">
        <f t="shared" si="31"/>
        <v>#DIV/0!</v>
      </c>
      <c r="R78" s="57">
        <f t="shared" si="32"/>
        <v>100</v>
      </c>
    </row>
    <row r="79" spans="1:18" x14ac:dyDescent="0.25">
      <c r="A79" s="29">
        <v>4241</v>
      </c>
      <c r="B79" s="3" t="s">
        <v>132</v>
      </c>
      <c r="C79" s="3"/>
      <c r="D79" s="3"/>
      <c r="E79" s="3"/>
      <c r="F79" s="30"/>
      <c r="G79" s="259"/>
      <c r="H79" s="260"/>
      <c r="I79" s="90">
        <f t="shared" si="40"/>
        <v>0</v>
      </c>
      <c r="J79" s="91"/>
      <c r="K79" s="259">
        <v>929.06</v>
      </c>
      <c r="L79" s="260"/>
      <c r="M79" s="259">
        <v>1000</v>
      </c>
      <c r="N79" s="260"/>
      <c r="O79" s="259"/>
      <c r="P79" s="260"/>
      <c r="Q79" s="57" t="e">
        <f t="shared" si="31"/>
        <v>#DIV/0!</v>
      </c>
      <c r="R79" s="57">
        <f t="shared" si="32"/>
        <v>0</v>
      </c>
    </row>
    <row r="80" spans="1:18" x14ac:dyDescent="0.25">
      <c r="A80" s="252" t="s">
        <v>138</v>
      </c>
      <c r="B80" s="253"/>
      <c r="C80" s="253"/>
      <c r="D80" s="253"/>
      <c r="E80" s="253"/>
      <c r="F80" s="254"/>
      <c r="G80" s="257">
        <f>G81</f>
        <v>0</v>
      </c>
      <c r="H80" s="258"/>
      <c r="I80" s="257">
        <f>I81</f>
        <v>0</v>
      </c>
      <c r="J80" s="258"/>
      <c r="K80" s="257">
        <f t="shared" ref="K80:M80" si="45">K81</f>
        <v>0</v>
      </c>
      <c r="L80" s="258"/>
      <c r="M80" s="257">
        <f t="shared" si="45"/>
        <v>1000</v>
      </c>
      <c r="N80" s="258"/>
      <c r="O80" s="257">
        <f t="shared" ref="O80" si="46">O81</f>
        <v>0</v>
      </c>
      <c r="P80" s="258"/>
      <c r="Q80" s="65" t="e">
        <f t="shared" si="31"/>
        <v>#DIV/0!</v>
      </c>
      <c r="R80" s="65">
        <f t="shared" si="32"/>
        <v>0</v>
      </c>
    </row>
    <row r="81" spans="1:18" x14ac:dyDescent="0.25">
      <c r="A81" s="29">
        <v>4241</v>
      </c>
      <c r="B81" s="3" t="s">
        <v>132</v>
      </c>
      <c r="C81" s="3"/>
      <c r="D81" s="3"/>
      <c r="E81" s="3"/>
      <c r="F81" s="30"/>
      <c r="G81" s="269"/>
      <c r="H81" s="270"/>
      <c r="I81" s="250">
        <f>G81/7.5345</f>
        <v>0</v>
      </c>
      <c r="J81" s="251"/>
      <c r="K81" s="269"/>
      <c r="L81" s="270"/>
      <c r="M81" s="248">
        <v>1000</v>
      </c>
      <c r="N81" s="249"/>
      <c r="O81" s="248"/>
      <c r="P81" s="249"/>
      <c r="Q81" s="63" t="e">
        <f t="shared" si="31"/>
        <v>#DIV/0!</v>
      </c>
      <c r="R81" s="63">
        <f t="shared" si="32"/>
        <v>0</v>
      </c>
    </row>
    <row r="82" spans="1:18" x14ac:dyDescent="0.25">
      <c r="A82" s="252" t="s">
        <v>134</v>
      </c>
      <c r="B82" s="253"/>
      <c r="C82" s="253"/>
      <c r="D82" s="253"/>
      <c r="E82" s="253"/>
      <c r="F82" s="254"/>
      <c r="G82" s="257">
        <f>G83</f>
        <v>0</v>
      </c>
      <c r="H82" s="258"/>
      <c r="I82" s="257">
        <f>I83</f>
        <v>0</v>
      </c>
      <c r="J82" s="258"/>
      <c r="K82" s="257">
        <f t="shared" ref="K82:M82" si="47">K83</f>
        <v>0</v>
      </c>
      <c r="L82" s="258"/>
      <c r="M82" s="257">
        <f t="shared" si="47"/>
        <v>0</v>
      </c>
      <c r="N82" s="258"/>
      <c r="O82" s="257">
        <f t="shared" ref="O82" si="48">O83</f>
        <v>0</v>
      </c>
      <c r="P82" s="258"/>
      <c r="Q82" s="65" t="e">
        <f t="shared" si="31"/>
        <v>#DIV/0!</v>
      </c>
      <c r="R82" s="65" t="e">
        <f t="shared" si="32"/>
        <v>#DIV/0!</v>
      </c>
    </row>
    <row r="83" spans="1:18" x14ac:dyDescent="0.25">
      <c r="A83" s="29">
        <v>3222</v>
      </c>
      <c r="B83" s="3" t="s">
        <v>99</v>
      </c>
      <c r="C83" s="3"/>
      <c r="D83" s="3"/>
      <c r="E83" s="3"/>
      <c r="F83" s="30"/>
      <c r="G83" s="248"/>
      <c r="H83" s="249"/>
      <c r="I83" s="250">
        <f>G83/7.5345</f>
        <v>0</v>
      </c>
      <c r="J83" s="251"/>
      <c r="K83" s="248"/>
      <c r="L83" s="249"/>
      <c r="M83" s="248"/>
      <c r="N83" s="249"/>
      <c r="O83" s="248"/>
      <c r="P83" s="249"/>
      <c r="Q83" s="63" t="e">
        <f t="shared" si="31"/>
        <v>#DIV/0!</v>
      </c>
      <c r="R83" s="63" t="e">
        <f t="shared" si="32"/>
        <v>#DIV/0!</v>
      </c>
    </row>
    <row r="84" spans="1:18" x14ac:dyDescent="0.25">
      <c r="A84" s="252" t="s">
        <v>135</v>
      </c>
      <c r="B84" s="253"/>
      <c r="C84" s="253"/>
      <c r="D84" s="253"/>
      <c r="E84" s="253"/>
      <c r="F84" s="254"/>
      <c r="G84" s="257">
        <f>SUM(G85:H85)</f>
        <v>0</v>
      </c>
      <c r="H84" s="258"/>
      <c r="I84" s="257">
        <f>SUM(I85:J85)</f>
        <v>0</v>
      </c>
      <c r="J84" s="258"/>
      <c r="K84" s="257">
        <f>SUM(K85:L85)</f>
        <v>0</v>
      </c>
      <c r="L84" s="258"/>
      <c r="M84" s="257">
        <f>SUM(M85:N85)</f>
        <v>4000</v>
      </c>
      <c r="N84" s="258"/>
      <c r="O84" s="257">
        <f>SUM(O85:P85)</f>
        <v>0</v>
      </c>
      <c r="P84" s="258"/>
      <c r="Q84" s="65" t="e">
        <f t="shared" si="31"/>
        <v>#DIV/0!</v>
      </c>
      <c r="R84" s="65">
        <f t="shared" si="32"/>
        <v>0</v>
      </c>
    </row>
    <row r="85" spans="1:18" x14ac:dyDescent="0.25">
      <c r="A85" s="29">
        <v>3299</v>
      </c>
      <c r="B85" s="3" t="s">
        <v>81</v>
      </c>
      <c r="C85" s="3"/>
      <c r="D85" s="3"/>
      <c r="E85" s="3"/>
      <c r="F85" s="30"/>
      <c r="G85" s="241"/>
      <c r="H85" s="242"/>
      <c r="I85" s="250">
        <f>G85/7.5345</f>
        <v>0</v>
      </c>
      <c r="J85" s="251"/>
      <c r="K85" s="241"/>
      <c r="L85" s="242"/>
      <c r="M85" s="241">
        <v>4000</v>
      </c>
      <c r="N85" s="242"/>
      <c r="O85" s="241"/>
      <c r="P85" s="242"/>
      <c r="Q85" s="63" t="e">
        <f t="shared" si="31"/>
        <v>#DIV/0!</v>
      </c>
      <c r="R85" s="63">
        <f t="shared" si="32"/>
        <v>0</v>
      </c>
    </row>
    <row r="86" spans="1:18" x14ac:dyDescent="0.25">
      <c r="A86" s="252" t="s">
        <v>137</v>
      </c>
      <c r="B86" s="253"/>
      <c r="C86" s="253"/>
      <c r="D86" s="253"/>
      <c r="E86" s="253"/>
      <c r="F86" s="254"/>
      <c r="G86" s="257">
        <f t="shared" ref="G86" si="49">SUM(G87:H99)</f>
        <v>14010.029999999999</v>
      </c>
      <c r="H86" s="258"/>
      <c r="I86" s="257">
        <f>SUM(I87:J99)</f>
        <v>1859.4505275731635</v>
      </c>
      <c r="J86" s="258"/>
      <c r="K86" s="257">
        <f>SUM(K87:L99)</f>
        <v>4778.03</v>
      </c>
      <c r="L86" s="258"/>
      <c r="M86" s="257">
        <f>SUM(M87:N99)</f>
        <v>15075.09</v>
      </c>
      <c r="N86" s="258"/>
      <c r="O86" s="257">
        <f>SUM(O87:P99)</f>
        <v>8609.52</v>
      </c>
      <c r="P86" s="258"/>
      <c r="Q86" s="65">
        <f t="shared" si="31"/>
        <v>463.01420082612242</v>
      </c>
      <c r="R86" s="65">
        <f t="shared" si="32"/>
        <v>57.110902820480682</v>
      </c>
    </row>
    <row r="87" spans="1:18" x14ac:dyDescent="0.25">
      <c r="A87" s="11">
        <v>3111</v>
      </c>
      <c r="B87" s="46" t="s">
        <v>130</v>
      </c>
      <c r="C87" s="46"/>
      <c r="D87" s="46"/>
      <c r="E87" s="46"/>
      <c r="F87" s="45"/>
      <c r="G87" s="250"/>
      <c r="H87" s="251"/>
      <c r="I87" s="250">
        <f>G87/7.5345</f>
        <v>0</v>
      </c>
      <c r="J87" s="251"/>
      <c r="K87" s="250"/>
      <c r="L87" s="251"/>
      <c r="M87" s="250">
        <v>5060.29</v>
      </c>
      <c r="N87" s="251"/>
      <c r="O87" s="250">
        <v>5060.29</v>
      </c>
      <c r="P87" s="251"/>
      <c r="Q87" s="78" t="e">
        <f t="shared" si="31"/>
        <v>#DIV/0!</v>
      </c>
      <c r="R87" s="78">
        <f t="shared" si="32"/>
        <v>100</v>
      </c>
    </row>
    <row r="88" spans="1:18" x14ac:dyDescent="0.25">
      <c r="A88" s="11">
        <v>3121</v>
      </c>
      <c r="B88" s="46" t="s">
        <v>59</v>
      </c>
      <c r="C88" s="46"/>
      <c r="D88" s="46"/>
      <c r="E88" s="46"/>
      <c r="F88" s="45"/>
      <c r="G88" s="250"/>
      <c r="H88" s="251"/>
      <c r="I88" s="250">
        <f>G88/7.5345</f>
        <v>0</v>
      </c>
      <c r="J88" s="251"/>
      <c r="K88" s="250"/>
      <c r="L88" s="251"/>
      <c r="M88" s="250"/>
      <c r="N88" s="251"/>
      <c r="O88" s="250"/>
      <c r="P88" s="251"/>
      <c r="Q88" s="63" t="e">
        <f t="shared" ref="Q88" si="50">O88/I88*100</f>
        <v>#DIV/0!</v>
      </c>
      <c r="R88" s="63" t="e">
        <f t="shared" ref="R88" si="51">O88/M88*100</f>
        <v>#DIV/0!</v>
      </c>
    </row>
    <row r="89" spans="1:18" x14ac:dyDescent="0.25">
      <c r="A89" s="11">
        <v>3211</v>
      </c>
      <c r="B89" s="46" t="s">
        <v>64</v>
      </c>
      <c r="C89" s="46"/>
      <c r="D89" s="46"/>
      <c r="E89" s="46"/>
      <c r="F89" s="45"/>
      <c r="G89" s="250"/>
      <c r="H89" s="251"/>
      <c r="I89" s="250">
        <f>G89/7.5345</f>
        <v>0</v>
      </c>
      <c r="J89" s="251"/>
      <c r="K89" s="250"/>
      <c r="L89" s="251"/>
      <c r="M89" s="250">
        <v>300</v>
      </c>
      <c r="N89" s="251"/>
      <c r="O89" s="250"/>
      <c r="P89" s="251"/>
      <c r="Q89" s="79" t="e">
        <f t="shared" ref="Q89" si="52">O89/I89*100</f>
        <v>#DIV/0!</v>
      </c>
      <c r="R89" s="79">
        <f t="shared" ref="R89" si="53">O89/M89*100</f>
        <v>0</v>
      </c>
    </row>
    <row r="90" spans="1:18" x14ac:dyDescent="0.25">
      <c r="A90" s="11">
        <v>3224</v>
      </c>
      <c r="B90" s="4" t="s">
        <v>110</v>
      </c>
      <c r="C90" s="46"/>
      <c r="D90" s="46"/>
      <c r="E90" s="46"/>
      <c r="F90" s="45"/>
      <c r="G90" s="250"/>
      <c r="H90" s="251"/>
      <c r="I90" s="250">
        <f>G90/7.5345</f>
        <v>0</v>
      </c>
      <c r="J90" s="251"/>
      <c r="K90" s="250"/>
      <c r="L90" s="251"/>
      <c r="M90" s="250">
        <v>1000</v>
      </c>
      <c r="N90" s="251"/>
      <c r="O90" s="250"/>
      <c r="P90" s="251"/>
      <c r="Q90" s="79" t="e">
        <f t="shared" ref="Q90" si="54">O90/I90*100</f>
        <v>#DIV/0!</v>
      </c>
      <c r="R90" s="79">
        <f t="shared" ref="R90" si="55">O90/M90*100</f>
        <v>0</v>
      </c>
    </row>
    <row r="91" spans="1:18" x14ac:dyDescent="0.25">
      <c r="A91" s="12">
        <v>3231</v>
      </c>
      <c r="B91" s="4" t="s">
        <v>74</v>
      </c>
      <c r="C91" s="4"/>
      <c r="D91" s="4"/>
      <c r="E91" s="4"/>
      <c r="F91" s="13"/>
      <c r="G91" s="241">
        <v>5964</v>
      </c>
      <c r="H91" s="242"/>
      <c r="I91" s="90">
        <f t="shared" ref="I91:I99" si="56">G91/7.5345</f>
        <v>791.55882938482978</v>
      </c>
      <c r="J91" s="91"/>
      <c r="K91" s="241">
        <v>1858.12</v>
      </c>
      <c r="L91" s="242"/>
      <c r="M91" s="241">
        <v>2000</v>
      </c>
      <c r="N91" s="242"/>
      <c r="O91" s="241">
        <v>980</v>
      </c>
      <c r="P91" s="242"/>
      <c r="Q91" s="57">
        <f t="shared" si="31"/>
        <v>123.80633802816901</v>
      </c>
      <c r="R91" s="57">
        <f t="shared" si="32"/>
        <v>49</v>
      </c>
    </row>
    <row r="92" spans="1:18" x14ac:dyDescent="0.25">
      <c r="A92" s="12">
        <v>3232</v>
      </c>
      <c r="B92" s="4" t="s">
        <v>75</v>
      </c>
      <c r="C92" s="4"/>
      <c r="D92" s="4"/>
      <c r="E92" s="4"/>
      <c r="F92" s="13"/>
      <c r="G92" s="241"/>
      <c r="H92" s="242"/>
      <c r="I92" s="90">
        <f t="shared" si="56"/>
        <v>0</v>
      </c>
      <c r="J92" s="91"/>
      <c r="K92" s="241"/>
      <c r="L92" s="242"/>
      <c r="M92" s="241"/>
      <c r="N92" s="242"/>
      <c r="O92" s="241"/>
      <c r="P92" s="242"/>
      <c r="Q92" s="57" t="e">
        <f t="shared" ref="Q92" si="57">O92/I92*100</f>
        <v>#DIV/0!</v>
      </c>
      <c r="R92" s="57" t="e">
        <f t="shared" ref="R92" si="58">O92/M92*100</f>
        <v>#DIV/0!</v>
      </c>
    </row>
    <row r="93" spans="1:18" x14ac:dyDescent="0.25">
      <c r="A93" s="12">
        <v>3236</v>
      </c>
      <c r="B93" s="4" t="s">
        <v>112</v>
      </c>
      <c r="C93" s="4"/>
      <c r="D93" s="4"/>
      <c r="E93" s="4"/>
      <c r="F93" s="13"/>
      <c r="G93" s="90">
        <v>3380</v>
      </c>
      <c r="H93" s="91"/>
      <c r="I93" s="90">
        <f t="shared" si="56"/>
        <v>448.60309244143605</v>
      </c>
      <c r="J93" s="91"/>
      <c r="K93" s="90"/>
      <c r="L93" s="91"/>
      <c r="M93" s="90"/>
      <c r="N93" s="91"/>
      <c r="O93" s="90"/>
      <c r="P93" s="91"/>
      <c r="Q93" s="57">
        <f t="shared" si="31"/>
        <v>0</v>
      </c>
      <c r="R93" s="57" t="e">
        <f t="shared" si="32"/>
        <v>#DIV/0!</v>
      </c>
    </row>
    <row r="94" spans="1:18" x14ac:dyDescent="0.25">
      <c r="A94" s="12">
        <v>3237</v>
      </c>
      <c r="B94" s="4" t="s">
        <v>78</v>
      </c>
      <c r="C94" s="4"/>
      <c r="D94" s="4"/>
      <c r="E94" s="4"/>
      <c r="F94" s="13"/>
      <c r="G94" s="90">
        <v>2770.62</v>
      </c>
      <c r="H94" s="91"/>
      <c r="I94" s="90">
        <f t="shared" si="56"/>
        <v>367.72446744973121</v>
      </c>
      <c r="J94" s="91"/>
      <c r="K94" s="90">
        <v>929.06</v>
      </c>
      <c r="L94" s="91"/>
      <c r="M94" s="90">
        <v>1077.46</v>
      </c>
      <c r="N94" s="91"/>
      <c r="O94" s="90">
        <v>1077.46</v>
      </c>
      <c r="P94" s="91"/>
      <c r="Q94" s="57">
        <f t="shared" si="31"/>
        <v>293.00742685752653</v>
      </c>
      <c r="R94" s="57">
        <f t="shared" si="32"/>
        <v>100</v>
      </c>
    </row>
    <row r="95" spans="1:18" x14ac:dyDescent="0.25">
      <c r="A95" s="12">
        <v>3291</v>
      </c>
      <c r="B95" s="4" t="s">
        <v>131</v>
      </c>
      <c r="C95" s="4"/>
      <c r="D95" s="4"/>
      <c r="E95" s="4"/>
      <c r="F95" s="13"/>
      <c r="G95" s="90"/>
      <c r="H95" s="91"/>
      <c r="I95" s="90">
        <f t="shared" si="56"/>
        <v>0</v>
      </c>
      <c r="J95" s="91"/>
      <c r="K95" s="90"/>
      <c r="L95" s="91"/>
      <c r="M95" s="90"/>
      <c r="N95" s="91"/>
      <c r="O95" s="90"/>
      <c r="P95" s="91"/>
      <c r="Q95" s="57" t="e">
        <f t="shared" si="31"/>
        <v>#DIV/0!</v>
      </c>
      <c r="R95" s="57" t="e">
        <f t="shared" si="32"/>
        <v>#DIV/0!</v>
      </c>
    </row>
    <row r="96" spans="1:18" x14ac:dyDescent="0.25">
      <c r="A96" s="12">
        <v>3296</v>
      </c>
      <c r="B96" s="4" t="s">
        <v>87</v>
      </c>
      <c r="C96" s="4"/>
      <c r="D96" s="4"/>
      <c r="E96" s="4"/>
      <c r="F96" s="13"/>
      <c r="G96" s="90"/>
      <c r="H96" s="91"/>
      <c r="I96" s="90">
        <f t="shared" si="56"/>
        <v>0</v>
      </c>
      <c r="J96" s="91"/>
      <c r="K96" s="90"/>
      <c r="L96" s="91"/>
      <c r="M96" s="90">
        <v>1266.77</v>
      </c>
      <c r="N96" s="91"/>
      <c r="O96" s="90">
        <v>1266.77</v>
      </c>
      <c r="P96" s="91"/>
      <c r="Q96" s="57" t="e">
        <f t="shared" ref="Q96" si="59">O96/I96*100</f>
        <v>#DIV/0!</v>
      </c>
      <c r="R96" s="57">
        <f t="shared" ref="R96" si="60">O96/M96*100</f>
        <v>100</v>
      </c>
    </row>
    <row r="97" spans="1:18" x14ac:dyDescent="0.25">
      <c r="A97" s="12">
        <v>3299</v>
      </c>
      <c r="B97" s="4" t="s">
        <v>81</v>
      </c>
      <c r="C97" s="4"/>
      <c r="D97" s="4"/>
      <c r="E97" s="4"/>
      <c r="F97" s="13"/>
      <c r="G97" s="90">
        <v>395.41</v>
      </c>
      <c r="H97" s="91"/>
      <c r="I97" s="90">
        <f t="shared" si="56"/>
        <v>52.479925675227285</v>
      </c>
      <c r="J97" s="91"/>
      <c r="K97" s="90">
        <v>929.06</v>
      </c>
      <c r="L97" s="91"/>
      <c r="M97" s="90">
        <v>3070.57</v>
      </c>
      <c r="N97" s="91"/>
      <c r="O97" s="90">
        <v>225</v>
      </c>
      <c r="P97" s="91"/>
      <c r="Q97" s="57">
        <f t="shared" si="31"/>
        <v>428.7353632937963</v>
      </c>
      <c r="R97" s="57">
        <f t="shared" si="32"/>
        <v>7.3276297234715377</v>
      </c>
    </row>
    <row r="98" spans="1:18" x14ac:dyDescent="0.25">
      <c r="A98" s="12">
        <v>3811</v>
      </c>
      <c r="B98" s="4" t="s">
        <v>113</v>
      </c>
      <c r="C98" s="4"/>
      <c r="D98" s="4"/>
      <c r="E98" s="4"/>
      <c r="F98" s="13"/>
      <c r="G98" s="90">
        <v>1500</v>
      </c>
      <c r="H98" s="91"/>
      <c r="I98" s="90">
        <f t="shared" si="56"/>
        <v>199.08421262193906</v>
      </c>
      <c r="J98" s="91"/>
      <c r="K98" s="90"/>
      <c r="L98" s="91"/>
      <c r="M98" s="90"/>
      <c r="N98" s="91"/>
      <c r="O98" s="90"/>
      <c r="P98" s="91"/>
      <c r="Q98" s="57">
        <f t="shared" si="31"/>
        <v>0</v>
      </c>
      <c r="R98" s="57" t="e">
        <f t="shared" si="32"/>
        <v>#DIV/0!</v>
      </c>
    </row>
    <row r="99" spans="1:18" x14ac:dyDescent="0.25">
      <c r="A99" s="29">
        <v>4221</v>
      </c>
      <c r="B99" s="3" t="s">
        <v>104</v>
      </c>
      <c r="C99" s="3"/>
      <c r="D99" s="3"/>
      <c r="E99" s="3"/>
      <c r="F99" s="30"/>
      <c r="G99" s="259"/>
      <c r="H99" s="260"/>
      <c r="I99" s="90">
        <f t="shared" si="56"/>
        <v>0</v>
      </c>
      <c r="J99" s="91"/>
      <c r="K99" s="259">
        <v>1061.79</v>
      </c>
      <c r="L99" s="260"/>
      <c r="M99" s="259">
        <v>1300</v>
      </c>
      <c r="N99" s="260"/>
      <c r="O99" s="259"/>
      <c r="P99" s="260"/>
      <c r="Q99" s="57" t="e">
        <f t="shared" si="31"/>
        <v>#DIV/0!</v>
      </c>
      <c r="R99" s="57">
        <f t="shared" si="32"/>
        <v>0</v>
      </c>
    </row>
    <row r="100" spans="1:18" x14ac:dyDescent="0.25">
      <c r="A100" s="252" t="s">
        <v>139</v>
      </c>
      <c r="B100" s="253"/>
      <c r="C100" s="253"/>
      <c r="D100" s="253"/>
      <c r="E100" s="253"/>
      <c r="F100" s="254"/>
      <c r="G100" s="257">
        <f>G102</f>
        <v>0</v>
      </c>
      <c r="H100" s="258"/>
      <c r="I100" s="257">
        <f>I102</f>
        <v>0</v>
      </c>
      <c r="J100" s="258"/>
      <c r="K100" s="257">
        <f t="shared" ref="K100:M100" si="61">K102</f>
        <v>0</v>
      </c>
      <c r="L100" s="258"/>
      <c r="M100" s="257">
        <f t="shared" si="61"/>
        <v>0</v>
      </c>
      <c r="N100" s="258"/>
      <c r="O100" s="257">
        <f t="shared" ref="O100" si="62">O102</f>
        <v>0</v>
      </c>
      <c r="P100" s="258"/>
      <c r="Q100" s="243" t="e">
        <f>O100/I100*100</f>
        <v>#DIV/0!</v>
      </c>
      <c r="R100" s="243" t="e">
        <f t="shared" si="32"/>
        <v>#DIV/0!</v>
      </c>
    </row>
    <row r="101" spans="1:18" x14ac:dyDescent="0.25">
      <c r="A101" s="245" t="s">
        <v>127</v>
      </c>
      <c r="B101" s="246"/>
      <c r="C101" s="246"/>
      <c r="D101" s="246"/>
      <c r="E101" s="246"/>
      <c r="F101" s="247"/>
      <c r="G101" s="265"/>
      <c r="H101" s="266"/>
      <c r="I101" s="265"/>
      <c r="J101" s="266"/>
      <c r="K101" s="265"/>
      <c r="L101" s="266"/>
      <c r="M101" s="265"/>
      <c r="N101" s="266"/>
      <c r="O101" s="265"/>
      <c r="P101" s="266"/>
      <c r="Q101" s="244"/>
      <c r="R101" s="244" t="e">
        <f t="shared" si="32"/>
        <v>#DIV/0!</v>
      </c>
    </row>
    <row r="102" spans="1:18" x14ac:dyDescent="0.25">
      <c r="A102" s="29">
        <v>3721</v>
      </c>
      <c r="B102" s="3" t="s">
        <v>140</v>
      </c>
      <c r="C102" s="3"/>
      <c r="D102" s="3"/>
      <c r="E102" s="3"/>
      <c r="F102" s="30"/>
      <c r="G102" s="269"/>
      <c r="H102" s="270"/>
      <c r="I102" s="250">
        <f>G102/7.5345</f>
        <v>0</v>
      </c>
      <c r="J102" s="251"/>
      <c r="K102" s="269"/>
      <c r="L102" s="270"/>
      <c r="M102" s="269"/>
      <c r="N102" s="270"/>
      <c r="O102" s="269"/>
      <c r="P102" s="270"/>
      <c r="Q102" s="63" t="e">
        <f>O102/I102*100</f>
        <v>#DIV/0!</v>
      </c>
      <c r="R102" s="63" t="e">
        <f>O102/M102*100</f>
        <v>#DIV/0!</v>
      </c>
    </row>
    <row r="103" spans="1:18" x14ac:dyDescent="0.25">
      <c r="A103" s="252" t="s">
        <v>141</v>
      </c>
      <c r="B103" s="253"/>
      <c r="C103" s="253"/>
      <c r="D103" s="253"/>
      <c r="E103" s="253"/>
      <c r="F103" s="254"/>
      <c r="G103" s="255">
        <f>G105</f>
        <v>0</v>
      </c>
      <c r="H103" s="256"/>
      <c r="I103" s="255">
        <f>I105</f>
        <v>0</v>
      </c>
      <c r="J103" s="256"/>
      <c r="K103" s="255">
        <f t="shared" ref="K103:M103" si="63">K105</f>
        <v>0</v>
      </c>
      <c r="L103" s="256"/>
      <c r="M103" s="255">
        <f t="shared" si="63"/>
        <v>1630.47</v>
      </c>
      <c r="N103" s="256"/>
      <c r="O103" s="255">
        <f t="shared" ref="O103" si="64">O105</f>
        <v>1630.47</v>
      </c>
      <c r="P103" s="256"/>
      <c r="Q103" s="243" t="e">
        <f>O103/I103*100</f>
        <v>#DIV/0!</v>
      </c>
      <c r="R103" s="243">
        <f t="shared" ref="R103:R104" si="65">O103/M103*100</f>
        <v>100</v>
      </c>
    </row>
    <row r="104" spans="1:18" x14ac:dyDescent="0.25">
      <c r="A104" s="245" t="s">
        <v>127</v>
      </c>
      <c r="B104" s="246"/>
      <c r="C104" s="246"/>
      <c r="D104" s="246"/>
      <c r="E104" s="246"/>
      <c r="F104" s="247"/>
      <c r="G104" s="257"/>
      <c r="H104" s="258"/>
      <c r="I104" s="257"/>
      <c r="J104" s="258"/>
      <c r="K104" s="257"/>
      <c r="L104" s="258"/>
      <c r="M104" s="257"/>
      <c r="N104" s="258"/>
      <c r="O104" s="257"/>
      <c r="P104" s="258"/>
      <c r="Q104" s="244"/>
      <c r="R104" s="244" t="e">
        <f t="shared" si="65"/>
        <v>#DIV/0!</v>
      </c>
    </row>
    <row r="105" spans="1:18" x14ac:dyDescent="0.25">
      <c r="A105" s="29">
        <v>3299</v>
      </c>
      <c r="B105" s="3" t="s">
        <v>142</v>
      </c>
      <c r="C105" s="3"/>
      <c r="D105" s="3"/>
      <c r="E105" s="3"/>
      <c r="F105" s="30"/>
      <c r="G105" s="269"/>
      <c r="H105" s="270"/>
      <c r="I105" s="250">
        <f>G105/7.5345</f>
        <v>0</v>
      </c>
      <c r="J105" s="251"/>
      <c r="K105" s="269"/>
      <c r="L105" s="270"/>
      <c r="M105" s="269">
        <v>1630.47</v>
      </c>
      <c r="N105" s="270"/>
      <c r="O105" s="269">
        <v>1630.47</v>
      </c>
      <c r="P105" s="270"/>
      <c r="Q105" s="63" t="e">
        <f>O105/I105*100</f>
        <v>#DIV/0!</v>
      </c>
      <c r="R105" s="63">
        <f>O105/M105*100</f>
        <v>100</v>
      </c>
    </row>
    <row r="106" spans="1:18" x14ac:dyDescent="0.25">
      <c r="A106" s="252" t="s">
        <v>201</v>
      </c>
      <c r="B106" s="253"/>
      <c r="C106" s="253"/>
      <c r="D106" s="253"/>
      <c r="E106" s="253"/>
      <c r="F106" s="254"/>
      <c r="G106" s="255">
        <f>G108</f>
        <v>0</v>
      </c>
      <c r="H106" s="256"/>
      <c r="I106" s="255">
        <f>I108</f>
        <v>0</v>
      </c>
      <c r="J106" s="256"/>
      <c r="K106" s="255">
        <f t="shared" ref="K106" si="66">K108</f>
        <v>0</v>
      </c>
      <c r="L106" s="256"/>
      <c r="M106" s="255">
        <f t="shared" ref="M106" si="67">M108</f>
        <v>730.02</v>
      </c>
      <c r="N106" s="256"/>
      <c r="O106" s="255">
        <f t="shared" ref="O106" si="68">O108</f>
        <v>398.19</v>
      </c>
      <c r="P106" s="256"/>
      <c r="Q106" s="243" t="e">
        <f>O106/I106*100</f>
        <v>#DIV/0!</v>
      </c>
      <c r="R106" s="243">
        <f t="shared" ref="R106:R107" si="69">O106/M106*100</f>
        <v>54.545080956686121</v>
      </c>
    </row>
    <row r="107" spans="1:18" x14ac:dyDescent="0.25">
      <c r="A107" s="245" t="s">
        <v>127</v>
      </c>
      <c r="B107" s="246"/>
      <c r="C107" s="246"/>
      <c r="D107" s="246"/>
      <c r="E107" s="246"/>
      <c r="F107" s="247"/>
      <c r="G107" s="257"/>
      <c r="H107" s="258"/>
      <c r="I107" s="257"/>
      <c r="J107" s="258"/>
      <c r="K107" s="257"/>
      <c r="L107" s="258"/>
      <c r="M107" s="257"/>
      <c r="N107" s="258"/>
      <c r="O107" s="257"/>
      <c r="P107" s="258"/>
      <c r="Q107" s="244"/>
      <c r="R107" s="244" t="e">
        <f t="shared" si="69"/>
        <v>#DIV/0!</v>
      </c>
    </row>
    <row r="108" spans="1:18" x14ac:dyDescent="0.25">
      <c r="A108" s="29">
        <v>3237</v>
      </c>
      <c r="B108" s="3" t="s">
        <v>78</v>
      </c>
      <c r="C108" s="3"/>
      <c r="D108" s="3"/>
      <c r="E108" s="3"/>
      <c r="F108" s="30"/>
      <c r="G108" s="248"/>
      <c r="H108" s="249"/>
      <c r="I108" s="250">
        <f>G108/7.5345</f>
        <v>0</v>
      </c>
      <c r="J108" s="251"/>
      <c r="K108" s="248"/>
      <c r="L108" s="249"/>
      <c r="M108" s="248">
        <v>730.02</v>
      </c>
      <c r="N108" s="249"/>
      <c r="O108" s="248">
        <v>398.19</v>
      </c>
      <c r="P108" s="249"/>
      <c r="Q108" s="78" t="e">
        <f>O108/I108*100</f>
        <v>#DIV/0!</v>
      </c>
      <c r="R108" s="78">
        <f>O108/M108*100</f>
        <v>54.545080956686121</v>
      </c>
    </row>
    <row r="109" spans="1:18" x14ac:dyDescent="0.25">
      <c r="A109" s="252" t="s">
        <v>202</v>
      </c>
      <c r="B109" s="253"/>
      <c r="C109" s="253"/>
      <c r="D109" s="253"/>
      <c r="E109" s="253"/>
      <c r="F109" s="254"/>
      <c r="G109" s="255">
        <f>G111</f>
        <v>0</v>
      </c>
      <c r="H109" s="256"/>
      <c r="I109" s="255">
        <f>I111</f>
        <v>0</v>
      </c>
      <c r="J109" s="256"/>
      <c r="K109" s="255">
        <f t="shared" ref="K109" si="70">K111</f>
        <v>0</v>
      </c>
      <c r="L109" s="256"/>
      <c r="M109" s="255">
        <f t="shared" ref="M109" si="71">M111</f>
        <v>1427.2</v>
      </c>
      <c r="N109" s="256"/>
      <c r="O109" s="255">
        <f t="shared" ref="O109" si="72">O111</f>
        <v>1427.2</v>
      </c>
      <c r="P109" s="256"/>
      <c r="Q109" s="243" t="e">
        <f>O109/I109*100</f>
        <v>#DIV/0!</v>
      </c>
      <c r="R109" s="243">
        <f t="shared" ref="R109:R110" si="73">O109/M109*100</f>
        <v>100</v>
      </c>
    </row>
    <row r="110" spans="1:18" x14ac:dyDescent="0.25">
      <c r="A110" s="245" t="s">
        <v>127</v>
      </c>
      <c r="B110" s="246"/>
      <c r="C110" s="246"/>
      <c r="D110" s="246"/>
      <c r="E110" s="246"/>
      <c r="F110" s="247"/>
      <c r="G110" s="257"/>
      <c r="H110" s="258"/>
      <c r="I110" s="257"/>
      <c r="J110" s="258"/>
      <c r="K110" s="257"/>
      <c r="L110" s="258"/>
      <c r="M110" s="257"/>
      <c r="N110" s="258"/>
      <c r="O110" s="257"/>
      <c r="P110" s="258"/>
      <c r="Q110" s="244"/>
      <c r="R110" s="244" t="e">
        <f t="shared" si="73"/>
        <v>#DIV/0!</v>
      </c>
    </row>
    <row r="111" spans="1:18" x14ac:dyDescent="0.25">
      <c r="A111" s="29">
        <v>3812</v>
      </c>
      <c r="B111" s="3" t="s">
        <v>203</v>
      </c>
      <c r="C111" s="3"/>
      <c r="D111" s="3"/>
      <c r="E111" s="3"/>
      <c r="F111" s="30"/>
      <c r="G111" s="248"/>
      <c r="H111" s="249"/>
      <c r="I111" s="250">
        <f>G111/7.5345</f>
        <v>0</v>
      </c>
      <c r="J111" s="251"/>
      <c r="K111" s="248"/>
      <c r="L111" s="249"/>
      <c r="M111" s="248">
        <v>1427.2</v>
      </c>
      <c r="N111" s="249"/>
      <c r="O111" s="248">
        <v>1427.2</v>
      </c>
      <c r="P111" s="249"/>
      <c r="Q111" s="78" t="e">
        <f>O111/I111*100</f>
        <v>#DIV/0!</v>
      </c>
      <c r="R111" s="78">
        <f>O111/M111*100</f>
        <v>100</v>
      </c>
    </row>
    <row r="112" spans="1:18" x14ac:dyDescent="0.25">
      <c r="A112" s="281" t="s">
        <v>143</v>
      </c>
      <c r="B112" s="282"/>
      <c r="C112" s="282"/>
      <c r="D112" s="282"/>
      <c r="E112" s="282"/>
      <c r="F112" s="283"/>
      <c r="G112" s="263">
        <f>G113</f>
        <v>61478.590000000004</v>
      </c>
      <c r="H112" s="264"/>
      <c r="I112" s="263">
        <f>I113</f>
        <v>8159.6111221713445</v>
      </c>
      <c r="J112" s="264"/>
      <c r="K112" s="263">
        <f t="shared" ref="K112:M112" si="74">K113</f>
        <v>0</v>
      </c>
      <c r="L112" s="264"/>
      <c r="M112" s="263">
        <f t="shared" si="74"/>
        <v>1249.6400000000001</v>
      </c>
      <c r="N112" s="264"/>
      <c r="O112" s="263">
        <f t="shared" ref="O112" si="75">O113</f>
        <v>1347.5800000000002</v>
      </c>
      <c r="P112" s="264"/>
      <c r="Q112" s="64">
        <f>O112/I112*100</f>
        <v>16.515247844818827</v>
      </c>
      <c r="R112" s="64">
        <f>O112/M112*100</f>
        <v>107.83745718767005</v>
      </c>
    </row>
    <row r="113" spans="1:18" x14ac:dyDescent="0.25">
      <c r="A113" s="245" t="s">
        <v>144</v>
      </c>
      <c r="B113" s="246"/>
      <c r="C113" s="246"/>
      <c r="D113" s="246"/>
      <c r="E113" s="246"/>
      <c r="F113" s="247"/>
      <c r="G113" s="267">
        <f>SUM(G115:H118)</f>
        <v>61478.590000000004</v>
      </c>
      <c r="H113" s="268"/>
      <c r="I113" s="267">
        <f>SUM(I115:J118)</f>
        <v>8159.6111221713445</v>
      </c>
      <c r="J113" s="268"/>
      <c r="K113" s="267">
        <f>SUM(K115:L118)</f>
        <v>0</v>
      </c>
      <c r="L113" s="268"/>
      <c r="M113" s="267">
        <f t="shared" ref="M113" si="76">SUM(M115:N118)</f>
        <v>1249.6400000000001</v>
      </c>
      <c r="N113" s="268"/>
      <c r="O113" s="267">
        <f t="shared" ref="O113" si="77">SUM(O115:P118)</f>
        <v>1347.5800000000002</v>
      </c>
      <c r="P113" s="268"/>
      <c r="Q113" s="244">
        <f>O113/I113*100</f>
        <v>16.515247844818827</v>
      </c>
      <c r="R113" s="244">
        <f t="shared" ref="R113:R114" si="78">O113/M113*100</f>
        <v>107.83745718767005</v>
      </c>
    </row>
    <row r="114" spans="1:18" x14ac:dyDescent="0.25">
      <c r="A114" s="245" t="s">
        <v>127</v>
      </c>
      <c r="B114" s="246"/>
      <c r="C114" s="246"/>
      <c r="D114" s="246"/>
      <c r="E114" s="246"/>
      <c r="F114" s="247"/>
      <c r="G114" s="257"/>
      <c r="H114" s="258"/>
      <c r="I114" s="257"/>
      <c r="J114" s="258"/>
      <c r="K114" s="257"/>
      <c r="L114" s="258"/>
      <c r="M114" s="257"/>
      <c r="N114" s="258"/>
      <c r="O114" s="257"/>
      <c r="P114" s="258"/>
      <c r="Q114" s="244"/>
      <c r="R114" s="244" t="e">
        <f t="shared" si="78"/>
        <v>#DIV/0!</v>
      </c>
    </row>
    <row r="115" spans="1:18" x14ac:dyDescent="0.25">
      <c r="A115" s="29">
        <v>3111</v>
      </c>
      <c r="B115" s="3" t="s">
        <v>58</v>
      </c>
      <c r="C115" s="3"/>
      <c r="D115" s="3"/>
      <c r="E115" s="3"/>
      <c r="F115" s="30"/>
      <c r="G115" s="241">
        <v>49431.25</v>
      </c>
      <c r="H115" s="242"/>
      <c r="I115" s="250">
        <f>G115/7.5345</f>
        <v>6560.6543234454839</v>
      </c>
      <c r="J115" s="251"/>
      <c r="K115" s="241"/>
      <c r="L115" s="242"/>
      <c r="M115" s="241">
        <v>987.72</v>
      </c>
      <c r="N115" s="242"/>
      <c r="O115" s="241">
        <v>1085.6600000000001</v>
      </c>
      <c r="P115" s="242"/>
      <c r="Q115" s="63">
        <f>O115/I115*100</f>
        <v>16.548044546718931</v>
      </c>
      <c r="R115" s="63">
        <f>O115/M115*100</f>
        <v>109.91576560158749</v>
      </c>
    </row>
    <row r="116" spans="1:18" x14ac:dyDescent="0.25">
      <c r="A116" s="12">
        <v>3121</v>
      </c>
      <c r="B116" s="4" t="s">
        <v>59</v>
      </c>
      <c r="C116" s="4"/>
      <c r="D116" s="4"/>
      <c r="E116" s="4"/>
      <c r="F116" s="13"/>
      <c r="G116" s="90"/>
      <c r="H116" s="91"/>
      <c r="I116" s="90">
        <f t="shared" ref="I116:I118" si="79">G116/7.5345</f>
        <v>0</v>
      </c>
      <c r="J116" s="91"/>
      <c r="K116" s="90"/>
      <c r="L116" s="91"/>
      <c r="M116" s="90"/>
      <c r="N116" s="91"/>
      <c r="O116" s="90"/>
      <c r="P116" s="91"/>
      <c r="Q116" s="57" t="e">
        <f t="shared" ref="Q116:Q118" si="80">O116/I116*100</f>
        <v>#DIV/0!</v>
      </c>
      <c r="R116" s="57" t="e">
        <f t="shared" ref="R116:R118" si="81">O116/M116*100</f>
        <v>#DIV/0!</v>
      </c>
    </row>
    <row r="117" spans="1:18" x14ac:dyDescent="0.25">
      <c r="A117" s="12">
        <v>3132</v>
      </c>
      <c r="B117" s="4" t="s">
        <v>145</v>
      </c>
      <c r="C117" s="4"/>
      <c r="D117" s="4"/>
      <c r="E117" s="4"/>
      <c r="F117" s="13"/>
      <c r="G117" s="90">
        <v>8156.16</v>
      </c>
      <c r="H117" s="91"/>
      <c r="I117" s="90">
        <f t="shared" si="79"/>
        <v>1082.5084610790364</v>
      </c>
      <c r="J117" s="91"/>
      <c r="K117" s="90"/>
      <c r="L117" s="91"/>
      <c r="M117" s="90">
        <v>179.14</v>
      </c>
      <c r="N117" s="91"/>
      <c r="O117" s="90">
        <v>179.14</v>
      </c>
      <c r="P117" s="91"/>
      <c r="Q117" s="57">
        <f t="shared" si="80"/>
        <v>16.548600444326741</v>
      </c>
      <c r="R117" s="57">
        <f t="shared" si="81"/>
        <v>100</v>
      </c>
    </row>
    <row r="118" spans="1:18" x14ac:dyDescent="0.25">
      <c r="A118" s="29">
        <v>3212</v>
      </c>
      <c r="B118" s="3" t="s">
        <v>116</v>
      </c>
      <c r="C118" s="3"/>
      <c r="D118" s="3"/>
      <c r="E118" s="3"/>
      <c r="F118" s="30"/>
      <c r="G118" s="259">
        <v>3891.18</v>
      </c>
      <c r="H118" s="260"/>
      <c r="I118" s="90">
        <f t="shared" si="79"/>
        <v>516.4483376468246</v>
      </c>
      <c r="J118" s="91"/>
      <c r="K118" s="259"/>
      <c r="L118" s="260"/>
      <c r="M118" s="259">
        <v>82.78</v>
      </c>
      <c r="N118" s="260"/>
      <c r="O118" s="259">
        <v>82.78</v>
      </c>
      <c r="P118" s="260"/>
      <c r="Q118" s="57">
        <f t="shared" si="80"/>
        <v>16.028708772146238</v>
      </c>
      <c r="R118" s="57">
        <f t="shared" si="81"/>
        <v>100</v>
      </c>
    </row>
    <row r="119" spans="1:18" x14ac:dyDescent="0.25">
      <c r="A119" s="281" t="s">
        <v>146</v>
      </c>
      <c r="B119" s="282"/>
      <c r="C119" s="282"/>
      <c r="D119" s="282"/>
      <c r="E119" s="282"/>
      <c r="F119" s="283"/>
      <c r="G119" s="263">
        <f>G120</f>
        <v>49326.75</v>
      </c>
      <c r="H119" s="264"/>
      <c r="I119" s="263">
        <f>I120</f>
        <v>6546.7847899661538</v>
      </c>
      <c r="J119" s="264"/>
      <c r="K119" s="263">
        <f t="shared" ref="K119" si="82">K120</f>
        <v>2654.46</v>
      </c>
      <c r="L119" s="264"/>
      <c r="M119" s="263">
        <f t="shared" ref="M119" si="83">M120</f>
        <v>859.82</v>
      </c>
      <c r="N119" s="264"/>
      <c r="O119" s="263">
        <f t="shared" ref="O119" si="84">O120</f>
        <v>340.44</v>
      </c>
      <c r="P119" s="264"/>
      <c r="Q119" s="64">
        <f>O119/I119*100</f>
        <v>5.2001098389818932</v>
      </c>
      <c r="R119" s="64">
        <f>O119/M119*100</f>
        <v>39.594333697750692</v>
      </c>
    </row>
    <row r="120" spans="1:18" x14ac:dyDescent="0.25">
      <c r="A120" s="245" t="s">
        <v>151</v>
      </c>
      <c r="B120" s="246"/>
      <c r="C120" s="246"/>
      <c r="D120" s="246"/>
      <c r="E120" s="246"/>
      <c r="F120" s="247"/>
      <c r="G120" s="267">
        <f>SUM(G122:H124)</f>
        <v>49326.75</v>
      </c>
      <c r="H120" s="268"/>
      <c r="I120" s="267">
        <f>SUM(I122:J124)</f>
        <v>6546.7847899661538</v>
      </c>
      <c r="J120" s="268"/>
      <c r="K120" s="267">
        <f t="shared" ref="K120:M120" si="85">SUM(K122:L124)</f>
        <v>2654.46</v>
      </c>
      <c r="L120" s="268"/>
      <c r="M120" s="267">
        <f t="shared" si="85"/>
        <v>859.82</v>
      </c>
      <c r="N120" s="268"/>
      <c r="O120" s="267">
        <f>SUM(O122:P124)</f>
        <v>340.44</v>
      </c>
      <c r="P120" s="268"/>
      <c r="Q120" s="244">
        <f>O120/I120*100</f>
        <v>5.2001098389818932</v>
      </c>
      <c r="R120" s="244">
        <f t="shared" ref="R120:R121" si="86">O120/M120*100</f>
        <v>39.594333697750692</v>
      </c>
    </row>
    <row r="121" spans="1:18" ht="15" customHeight="1" x14ac:dyDescent="0.25">
      <c r="A121" s="245" t="s">
        <v>137</v>
      </c>
      <c r="B121" s="246"/>
      <c r="C121" s="246"/>
      <c r="D121" s="246"/>
      <c r="E121" s="246"/>
      <c r="F121" s="247"/>
      <c r="G121" s="257"/>
      <c r="H121" s="258"/>
      <c r="I121" s="257"/>
      <c r="J121" s="258"/>
      <c r="K121" s="257"/>
      <c r="L121" s="258"/>
      <c r="M121" s="257"/>
      <c r="N121" s="258"/>
      <c r="O121" s="257"/>
      <c r="P121" s="258"/>
      <c r="Q121" s="244"/>
      <c r="R121" s="244" t="e">
        <f t="shared" si="86"/>
        <v>#DIV/0!</v>
      </c>
    </row>
    <row r="122" spans="1:18" ht="15" customHeight="1" x14ac:dyDescent="0.25">
      <c r="A122" s="29">
        <v>3211</v>
      </c>
      <c r="B122" s="3" t="s">
        <v>64</v>
      </c>
      <c r="C122" s="3"/>
      <c r="D122" s="3"/>
      <c r="E122" s="3"/>
      <c r="F122" s="30"/>
      <c r="G122" s="241">
        <v>34866.089999999997</v>
      </c>
      <c r="H122" s="242"/>
      <c r="I122" s="250">
        <f>G122/7.5345</f>
        <v>4627.5253832371081</v>
      </c>
      <c r="J122" s="251"/>
      <c r="K122" s="241"/>
      <c r="L122" s="242"/>
      <c r="M122" s="241">
        <v>849.82</v>
      </c>
      <c r="N122" s="242"/>
      <c r="O122" s="241"/>
      <c r="P122" s="242"/>
      <c r="Q122" s="63">
        <f>O122/I122*100</f>
        <v>0</v>
      </c>
      <c r="R122" s="63">
        <f>O122/M122*100</f>
        <v>0</v>
      </c>
    </row>
    <row r="123" spans="1:18" x14ac:dyDescent="0.25">
      <c r="A123" s="12">
        <v>3213</v>
      </c>
      <c r="B123" s="4" t="s">
        <v>66</v>
      </c>
      <c r="C123" s="4"/>
      <c r="D123" s="4"/>
      <c r="E123" s="4"/>
      <c r="F123" s="13"/>
      <c r="G123" s="90">
        <v>12734.4</v>
      </c>
      <c r="H123" s="91"/>
      <c r="I123" s="90">
        <f>G123/7.5345</f>
        <v>1690.1453314752139</v>
      </c>
      <c r="J123" s="91"/>
      <c r="K123" s="90"/>
      <c r="L123" s="91"/>
      <c r="M123" s="90"/>
      <c r="N123" s="91"/>
      <c r="O123" s="90"/>
      <c r="P123" s="91"/>
      <c r="Q123" s="57">
        <f t="shared" ref="Q123:Q124" si="87">O123/I123*100</f>
        <v>0</v>
      </c>
      <c r="R123" s="57" t="e">
        <f t="shared" ref="R123:R124" si="88">O123/M123*100</f>
        <v>#DIV/0!</v>
      </c>
    </row>
    <row r="124" spans="1:18" x14ac:dyDescent="0.25">
      <c r="A124" s="29">
        <v>3299</v>
      </c>
      <c r="B124" s="3" t="s">
        <v>81</v>
      </c>
      <c r="C124" s="3"/>
      <c r="D124" s="3"/>
      <c r="E124" s="3"/>
      <c r="F124" s="30"/>
      <c r="G124" s="259">
        <v>1726.26</v>
      </c>
      <c r="H124" s="260"/>
      <c r="I124" s="90">
        <f t="shared" ref="I124" si="89">G124/7.5345</f>
        <v>229.11407525383237</v>
      </c>
      <c r="J124" s="91"/>
      <c r="K124" s="259">
        <v>2654.46</v>
      </c>
      <c r="L124" s="260"/>
      <c r="M124" s="259">
        <v>10</v>
      </c>
      <c r="N124" s="260"/>
      <c r="O124" s="259">
        <v>340.44</v>
      </c>
      <c r="P124" s="260"/>
      <c r="Q124" s="57">
        <f t="shared" si="87"/>
        <v>148.58973619269403</v>
      </c>
      <c r="R124" s="57">
        <f t="shared" si="88"/>
        <v>3404.3999999999996</v>
      </c>
    </row>
    <row r="125" spans="1:18" x14ac:dyDescent="0.25">
      <c r="A125" s="281" t="s">
        <v>147</v>
      </c>
      <c r="B125" s="282"/>
      <c r="C125" s="282"/>
      <c r="D125" s="282"/>
      <c r="E125" s="282"/>
      <c r="F125" s="283"/>
      <c r="G125" s="263">
        <f>G126+G140</f>
        <v>12830.989999999998</v>
      </c>
      <c r="H125" s="264"/>
      <c r="I125" s="263">
        <f>I126+I140</f>
        <v>1702.9650275399827</v>
      </c>
      <c r="J125" s="264"/>
      <c r="K125" s="263">
        <f t="shared" ref="K125:M125" si="90">K126+K140</f>
        <v>14438.94</v>
      </c>
      <c r="L125" s="264"/>
      <c r="M125" s="263">
        <f t="shared" si="90"/>
        <v>30886.57</v>
      </c>
      <c r="N125" s="264"/>
      <c r="O125" s="263">
        <f t="shared" ref="O125" si="91">O126+O140</f>
        <v>29007.809999999998</v>
      </c>
      <c r="P125" s="264"/>
      <c r="Q125" s="64">
        <f t="shared" ref="Q125" si="92">O125/I125*100</f>
        <v>1703.3708579384754</v>
      </c>
      <c r="R125" s="64">
        <f t="shared" ref="R125" si="93">O125/M125*100</f>
        <v>93.9172268076384</v>
      </c>
    </row>
    <row r="126" spans="1:18" x14ac:dyDescent="0.25">
      <c r="A126" s="291" t="s">
        <v>148</v>
      </c>
      <c r="B126" s="292"/>
      <c r="C126" s="292"/>
      <c r="D126" s="292"/>
      <c r="E126" s="292"/>
      <c r="F126" s="293"/>
      <c r="G126" s="265">
        <f>SUM(G130:H139)</f>
        <v>12830.989999999998</v>
      </c>
      <c r="H126" s="266"/>
      <c r="I126" s="265">
        <f>SUM(I130:J139)</f>
        <v>1702.9650275399827</v>
      </c>
      <c r="J126" s="266"/>
      <c r="K126" s="265">
        <f>SUM(K130:L139)</f>
        <v>0</v>
      </c>
      <c r="L126" s="266"/>
      <c r="M126" s="265">
        <f>SUM(M130:N139)</f>
        <v>16156.779999999999</v>
      </c>
      <c r="N126" s="266"/>
      <c r="O126" s="265">
        <f>SUM(O130:P139)</f>
        <v>14278.019999999997</v>
      </c>
      <c r="P126" s="266"/>
      <c r="Q126" s="244">
        <f>O126/I126*100</f>
        <v>838.42121060027318</v>
      </c>
      <c r="R126" s="244">
        <f>O126/M126*100</f>
        <v>88.371692874446509</v>
      </c>
    </row>
    <row r="127" spans="1:18" x14ac:dyDescent="0.25">
      <c r="A127" s="303" t="s">
        <v>182</v>
      </c>
      <c r="B127" s="304"/>
      <c r="C127" s="304"/>
      <c r="D127" s="304"/>
      <c r="E127" s="304"/>
      <c r="F127" s="305"/>
      <c r="G127" s="265"/>
      <c r="H127" s="266"/>
      <c r="I127" s="265"/>
      <c r="J127" s="266"/>
      <c r="K127" s="265"/>
      <c r="L127" s="266"/>
      <c r="M127" s="265"/>
      <c r="N127" s="266"/>
      <c r="O127" s="265"/>
      <c r="P127" s="266"/>
      <c r="Q127" s="244"/>
      <c r="R127" s="244"/>
    </row>
    <row r="128" spans="1:18" x14ac:dyDescent="0.25">
      <c r="A128" s="272" t="s">
        <v>208</v>
      </c>
      <c r="B128" s="273"/>
      <c r="C128" s="273"/>
      <c r="D128" s="273"/>
      <c r="E128" s="273"/>
      <c r="F128" s="274"/>
      <c r="G128" s="265"/>
      <c r="H128" s="266"/>
      <c r="I128" s="265"/>
      <c r="J128" s="266"/>
      <c r="K128" s="265"/>
      <c r="L128" s="266"/>
      <c r="M128" s="265"/>
      <c r="N128" s="266"/>
      <c r="O128" s="265"/>
      <c r="P128" s="266"/>
      <c r="Q128" s="244"/>
      <c r="R128" s="244"/>
    </row>
    <row r="129" spans="1:18" x14ac:dyDescent="0.25">
      <c r="A129" s="72" t="s">
        <v>185</v>
      </c>
      <c r="B129" s="73"/>
      <c r="C129" s="73"/>
      <c r="D129" s="73"/>
      <c r="E129" s="73"/>
      <c r="F129" s="74"/>
      <c r="G129" s="265"/>
      <c r="H129" s="266"/>
      <c r="I129" s="265"/>
      <c r="J129" s="266"/>
      <c r="K129" s="265"/>
      <c r="L129" s="266"/>
      <c r="M129" s="265"/>
      <c r="N129" s="266"/>
      <c r="O129" s="265"/>
      <c r="P129" s="266"/>
      <c r="Q129" s="244"/>
      <c r="R129" s="244"/>
    </row>
    <row r="130" spans="1:18" x14ac:dyDescent="0.25">
      <c r="A130" s="11">
        <v>3111</v>
      </c>
      <c r="B130" s="46" t="s">
        <v>58</v>
      </c>
      <c r="C130" s="46"/>
      <c r="D130" s="46"/>
      <c r="E130" s="46"/>
      <c r="F130" s="45" t="s">
        <v>170</v>
      </c>
      <c r="G130" s="241">
        <v>2493.75</v>
      </c>
      <c r="H130" s="242"/>
      <c r="I130" s="250">
        <f>G130/7.5345</f>
        <v>330.97750348397369</v>
      </c>
      <c r="J130" s="251"/>
      <c r="K130" s="241"/>
      <c r="L130" s="242"/>
      <c r="M130" s="241">
        <v>2096.36</v>
      </c>
      <c r="N130" s="242"/>
      <c r="O130" s="241">
        <v>2096.36</v>
      </c>
      <c r="P130" s="242"/>
      <c r="Q130" s="63">
        <f>O130/I130*100</f>
        <v>633.38443789473695</v>
      </c>
      <c r="R130" s="63">
        <f>O130/M130*100</f>
        <v>100</v>
      </c>
    </row>
    <row r="131" spans="1:18" x14ac:dyDescent="0.25">
      <c r="A131" s="11">
        <v>3111</v>
      </c>
      <c r="B131" s="46" t="s">
        <v>58</v>
      </c>
      <c r="C131" s="46"/>
      <c r="D131" s="46"/>
      <c r="E131" s="46"/>
      <c r="F131" s="45" t="s">
        <v>169</v>
      </c>
      <c r="G131" s="241">
        <v>2612.5</v>
      </c>
      <c r="H131" s="242"/>
      <c r="I131" s="90">
        <f>G131/7.5345</f>
        <v>346.73833698321056</v>
      </c>
      <c r="J131" s="91"/>
      <c r="K131" s="241"/>
      <c r="L131" s="242"/>
      <c r="M131" s="241">
        <v>1204.3</v>
      </c>
      <c r="N131" s="242"/>
      <c r="O131" s="241"/>
      <c r="P131" s="242"/>
      <c r="Q131" s="57">
        <f t="shared" ref="Q131" si="94">O131/I131*100</f>
        <v>0</v>
      </c>
      <c r="R131" s="57">
        <f t="shared" ref="R131" si="95">O131/M131*100</f>
        <v>0</v>
      </c>
    </row>
    <row r="132" spans="1:18" x14ac:dyDescent="0.25">
      <c r="A132" s="11">
        <v>3111</v>
      </c>
      <c r="B132" s="46" t="s">
        <v>58</v>
      </c>
      <c r="C132" s="46"/>
      <c r="D132" s="46"/>
      <c r="E132" s="46"/>
      <c r="F132" s="45" t="s">
        <v>172</v>
      </c>
      <c r="G132" s="241"/>
      <c r="H132" s="242"/>
      <c r="I132" s="90"/>
      <c r="J132" s="91"/>
      <c r="K132" s="241"/>
      <c r="L132" s="242"/>
      <c r="M132" s="241">
        <v>3533.36</v>
      </c>
      <c r="N132" s="242"/>
      <c r="O132" s="241">
        <v>3925.12</v>
      </c>
      <c r="P132" s="242"/>
      <c r="Q132" s="57" t="e">
        <f t="shared" ref="Q132" si="96">O132/I132*100</f>
        <v>#DIV/0!</v>
      </c>
      <c r="R132" s="57">
        <f t="shared" ref="R132" si="97">O132/M132*100</f>
        <v>111.08746349084157</v>
      </c>
    </row>
    <row r="133" spans="1:18" x14ac:dyDescent="0.25">
      <c r="A133" s="12">
        <v>3111</v>
      </c>
      <c r="B133" s="4" t="s">
        <v>58</v>
      </c>
      <c r="C133" s="4"/>
      <c r="D133" s="4"/>
      <c r="E133" s="4"/>
      <c r="F133" s="13" t="s">
        <v>171</v>
      </c>
      <c r="G133" s="241">
        <v>4631.25</v>
      </c>
      <c r="H133" s="242"/>
      <c r="I133" s="90">
        <f t="shared" ref="I133:I139" si="98">G133/7.5345</f>
        <v>614.67250647023684</v>
      </c>
      <c r="J133" s="91"/>
      <c r="K133" s="241"/>
      <c r="L133" s="242"/>
      <c r="M133" s="241">
        <v>5620.12</v>
      </c>
      <c r="N133" s="242"/>
      <c r="O133" s="241">
        <v>5620.12</v>
      </c>
      <c r="P133" s="242"/>
      <c r="Q133" s="57">
        <f t="shared" ref="Q133" si="99">O133/I133*100</f>
        <v>914.3275387854253</v>
      </c>
      <c r="R133" s="57">
        <f t="shared" ref="R133" si="100">O133/M133*100</f>
        <v>100</v>
      </c>
    </row>
    <row r="134" spans="1:18" x14ac:dyDescent="0.25">
      <c r="A134" s="12">
        <v>3121</v>
      </c>
      <c r="B134" s="4" t="s">
        <v>59</v>
      </c>
      <c r="C134" s="4"/>
      <c r="D134" s="4"/>
      <c r="E134" s="4"/>
      <c r="F134" s="13" t="s">
        <v>172</v>
      </c>
      <c r="G134" s="90"/>
      <c r="H134" s="91"/>
      <c r="I134" s="90">
        <f t="shared" si="98"/>
        <v>0</v>
      </c>
      <c r="J134" s="91"/>
      <c r="K134" s="90"/>
      <c r="L134" s="91"/>
      <c r="M134" s="90">
        <v>800</v>
      </c>
      <c r="N134" s="91"/>
      <c r="O134" s="90"/>
      <c r="P134" s="91"/>
      <c r="Q134" s="57" t="e">
        <f t="shared" ref="Q134:Q139" si="101">O134/I134*100</f>
        <v>#DIV/0!</v>
      </c>
      <c r="R134" s="57">
        <f t="shared" ref="R134:R141" si="102">O134/M134*100</f>
        <v>0</v>
      </c>
    </row>
    <row r="135" spans="1:18" x14ac:dyDescent="0.25">
      <c r="A135" s="12">
        <v>3132</v>
      </c>
      <c r="B135" s="4" t="s">
        <v>60</v>
      </c>
      <c r="C135" s="4"/>
      <c r="D135" s="4"/>
      <c r="E135" s="4"/>
      <c r="F135" s="13" t="s">
        <v>170</v>
      </c>
      <c r="G135" s="90">
        <v>411.47</v>
      </c>
      <c r="H135" s="91"/>
      <c r="I135" s="90">
        <f t="shared" si="98"/>
        <v>54.611453978366185</v>
      </c>
      <c r="J135" s="91"/>
      <c r="K135" s="90"/>
      <c r="L135" s="91"/>
      <c r="M135" s="90">
        <v>345.9</v>
      </c>
      <c r="N135" s="91"/>
      <c r="O135" s="90">
        <v>345.9</v>
      </c>
      <c r="P135" s="91"/>
      <c r="Q135" s="57">
        <f t="shared" si="101"/>
        <v>633.38361241402765</v>
      </c>
      <c r="R135" s="57">
        <f t="shared" si="102"/>
        <v>100</v>
      </c>
    </row>
    <row r="136" spans="1:18" x14ac:dyDescent="0.25">
      <c r="A136" s="12">
        <v>3132</v>
      </c>
      <c r="B136" s="4" t="s">
        <v>183</v>
      </c>
      <c r="C136" s="4"/>
      <c r="D136" s="4"/>
      <c r="E136" s="4"/>
      <c r="F136" s="13" t="s">
        <v>169</v>
      </c>
      <c r="G136" s="90">
        <v>431.06</v>
      </c>
      <c r="H136" s="91"/>
      <c r="I136" s="90">
        <f t="shared" si="98"/>
        <v>57.211493795208703</v>
      </c>
      <c r="J136" s="91"/>
      <c r="K136" s="90"/>
      <c r="L136" s="91"/>
      <c r="M136" s="90">
        <v>198.72</v>
      </c>
      <c r="N136" s="91"/>
      <c r="O136" s="90"/>
      <c r="P136" s="91"/>
      <c r="Q136" s="57">
        <f t="shared" ref="Q136" si="103">O136/I136*100</f>
        <v>0</v>
      </c>
      <c r="R136" s="57">
        <f t="shared" ref="R136" si="104">O136/M136*100</f>
        <v>0</v>
      </c>
    </row>
    <row r="137" spans="1:18" x14ac:dyDescent="0.25">
      <c r="A137" s="12">
        <v>3132</v>
      </c>
      <c r="B137" s="4" t="s">
        <v>183</v>
      </c>
      <c r="C137" s="4"/>
      <c r="D137" s="4"/>
      <c r="E137" s="4"/>
      <c r="F137" s="13" t="s">
        <v>172</v>
      </c>
      <c r="G137" s="90"/>
      <c r="H137" s="91"/>
      <c r="I137" s="90">
        <f t="shared" ref="I137" si="105">G137/7.5345</f>
        <v>0</v>
      </c>
      <c r="J137" s="91"/>
      <c r="K137" s="90"/>
      <c r="L137" s="91"/>
      <c r="M137" s="90">
        <v>1575.04</v>
      </c>
      <c r="N137" s="91"/>
      <c r="O137" s="90">
        <v>1575.04</v>
      </c>
      <c r="P137" s="91"/>
      <c r="Q137" s="57" t="e">
        <f t="shared" ref="Q137" si="106">O137/I137*100</f>
        <v>#DIV/0!</v>
      </c>
      <c r="R137" s="57">
        <f t="shared" ref="R137" si="107">O137/M137*100</f>
        <v>100</v>
      </c>
    </row>
    <row r="138" spans="1:18" x14ac:dyDescent="0.25">
      <c r="A138" s="12">
        <v>3132</v>
      </c>
      <c r="B138" s="4" t="s">
        <v>60</v>
      </c>
      <c r="C138" s="4"/>
      <c r="D138" s="4"/>
      <c r="E138" s="4"/>
      <c r="F138" s="13" t="s">
        <v>171</v>
      </c>
      <c r="G138" s="90">
        <v>764.16</v>
      </c>
      <c r="H138" s="91"/>
      <c r="I138" s="90">
        <f t="shared" si="98"/>
        <v>101.42146127812063</v>
      </c>
      <c r="J138" s="91"/>
      <c r="K138" s="90"/>
      <c r="L138" s="91"/>
      <c r="M138" s="90"/>
      <c r="N138" s="91"/>
      <c r="O138" s="90"/>
      <c r="P138" s="91"/>
      <c r="Q138" s="57">
        <f t="shared" ref="Q138" si="108">O138/I138*100</f>
        <v>0</v>
      </c>
      <c r="R138" s="57" t="e">
        <f t="shared" ref="R138" si="109">O138/M138*100</f>
        <v>#DIV/0!</v>
      </c>
    </row>
    <row r="139" spans="1:18" x14ac:dyDescent="0.25">
      <c r="A139" s="29">
        <v>3212</v>
      </c>
      <c r="B139" s="36" t="s">
        <v>149</v>
      </c>
      <c r="C139" s="3"/>
      <c r="D139" s="3"/>
      <c r="E139" s="3"/>
      <c r="F139" s="30" t="s">
        <v>172</v>
      </c>
      <c r="G139" s="259">
        <v>1486.8</v>
      </c>
      <c r="H139" s="260"/>
      <c r="I139" s="90">
        <f t="shared" si="98"/>
        <v>197.33227155086601</v>
      </c>
      <c r="J139" s="91"/>
      <c r="K139" s="259"/>
      <c r="L139" s="260"/>
      <c r="M139" s="259">
        <v>782.98</v>
      </c>
      <c r="N139" s="260"/>
      <c r="O139" s="259">
        <v>715.48</v>
      </c>
      <c r="P139" s="260"/>
      <c r="Q139" s="57">
        <f t="shared" si="101"/>
        <v>362.57627522195321</v>
      </c>
      <c r="R139" s="57">
        <f t="shared" si="102"/>
        <v>91.379090142787817</v>
      </c>
    </row>
    <row r="140" spans="1:18" x14ac:dyDescent="0.25">
      <c r="A140" s="300" t="s">
        <v>150</v>
      </c>
      <c r="B140" s="301"/>
      <c r="C140" s="301"/>
      <c r="D140" s="301"/>
      <c r="E140" s="301"/>
      <c r="F140" s="302"/>
      <c r="G140" s="255">
        <f>SUM(G142:H143)</f>
        <v>0</v>
      </c>
      <c r="H140" s="256"/>
      <c r="I140" s="255">
        <f>SUM(I142:J143)</f>
        <v>0</v>
      </c>
      <c r="J140" s="256"/>
      <c r="K140" s="255">
        <f>SUM(K142:L143)</f>
        <v>14438.94</v>
      </c>
      <c r="L140" s="256"/>
      <c r="M140" s="255">
        <f>SUM(M142:N143)</f>
        <v>14729.79</v>
      </c>
      <c r="N140" s="256"/>
      <c r="O140" s="255">
        <f>SUM(O142:P143)</f>
        <v>14729.789999999999</v>
      </c>
      <c r="P140" s="256"/>
      <c r="Q140" s="243" t="e">
        <f>O140/I140*100</f>
        <v>#DIV/0!</v>
      </c>
      <c r="R140" s="243">
        <f t="shared" si="102"/>
        <v>99.999999999999986</v>
      </c>
    </row>
    <row r="141" spans="1:18" ht="15" customHeight="1" x14ac:dyDescent="0.25">
      <c r="A141" s="245" t="s">
        <v>137</v>
      </c>
      <c r="B141" s="246"/>
      <c r="C141" s="246"/>
      <c r="D141" s="246"/>
      <c r="E141" s="246"/>
      <c r="F141" s="247"/>
      <c r="G141" s="257"/>
      <c r="H141" s="258"/>
      <c r="I141" s="257"/>
      <c r="J141" s="258"/>
      <c r="K141" s="257"/>
      <c r="L141" s="258"/>
      <c r="M141" s="257"/>
      <c r="N141" s="258"/>
      <c r="O141" s="257"/>
      <c r="P141" s="258"/>
      <c r="Q141" s="244"/>
      <c r="R141" s="244" t="e">
        <f t="shared" si="102"/>
        <v>#DIV/0!</v>
      </c>
    </row>
    <row r="142" spans="1:18" x14ac:dyDescent="0.25">
      <c r="A142" s="11">
        <v>3211</v>
      </c>
      <c r="B142" s="48" t="s">
        <v>64</v>
      </c>
      <c r="C142" s="49"/>
      <c r="D142" s="49"/>
      <c r="E142" s="49"/>
      <c r="F142" s="50"/>
      <c r="G142" s="241"/>
      <c r="H142" s="242"/>
      <c r="I142" s="250">
        <f>G142/7.5345</f>
        <v>0</v>
      </c>
      <c r="J142" s="251"/>
      <c r="K142" s="241">
        <v>9130.02</v>
      </c>
      <c r="L142" s="242"/>
      <c r="M142" s="241">
        <v>9729.7900000000009</v>
      </c>
      <c r="N142" s="242"/>
      <c r="O142" s="241">
        <v>10072.799999999999</v>
      </c>
      <c r="P142" s="242"/>
      <c r="Q142" s="63" t="e">
        <f>O142/I142*100</f>
        <v>#DIV/0!</v>
      </c>
      <c r="R142" s="63">
        <f>O142/M142*100</f>
        <v>103.52535871791682</v>
      </c>
    </row>
    <row r="143" spans="1:18" ht="15.75" thickBot="1" x14ac:dyDescent="0.3">
      <c r="A143" s="51">
        <v>3213</v>
      </c>
      <c r="B143" s="52" t="s">
        <v>152</v>
      </c>
      <c r="C143" s="53"/>
      <c r="D143" s="53"/>
      <c r="E143" s="53"/>
      <c r="F143" s="54"/>
      <c r="G143" s="261"/>
      <c r="H143" s="262"/>
      <c r="I143" s="261">
        <f>G143/7.5345</f>
        <v>0</v>
      </c>
      <c r="J143" s="262"/>
      <c r="K143" s="261">
        <v>5308.92</v>
      </c>
      <c r="L143" s="262"/>
      <c r="M143" s="261">
        <v>5000</v>
      </c>
      <c r="N143" s="262"/>
      <c r="O143" s="261">
        <v>4656.99</v>
      </c>
      <c r="P143" s="262"/>
      <c r="Q143" s="58" t="e">
        <f>O143/I143*100</f>
        <v>#DIV/0!</v>
      </c>
      <c r="R143" s="58">
        <f>O143/M143*100</f>
        <v>93.139799999999994</v>
      </c>
    </row>
  </sheetData>
  <customSheetViews>
    <customSheetView guid="{005C429F-8448-44DF-83AD-8A930973E873}" topLeftCell="A22">
      <selection activeCell="G131" sqref="G131:H131"/>
      <rowBreaks count="1" manualBreakCount="1">
        <brk id="54" max="16383" man="1"/>
      </rowBreaks>
      <pageMargins left="0.7" right="0.7" top="0.75" bottom="0.75" header="0.3" footer="0.3"/>
      <pageSetup paperSize="9" scale="63" orientation="portrait" r:id="rId1"/>
    </customSheetView>
  </customSheetViews>
  <mergeCells count="672">
    <mergeCell ref="K89:L89"/>
    <mergeCell ref="M89:N89"/>
    <mergeCell ref="O89:P89"/>
    <mergeCell ref="G90:H90"/>
    <mergeCell ref="I90:J90"/>
    <mergeCell ref="K90:L90"/>
    <mergeCell ref="M90:N90"/>
    <mergeCell ref="O90:P90"/>
    <mergeCell ref="Q61:Q62"/>
    <mergeCell ref="K80:L80"/>
    <mergeCell ref="K81:L81"/>
    <mergeCell ref="K65:L65"/>
    <mergeCell ref="K66:L66"/>
    <mergeCell ref="K67:L67"/>
    <mergeCell ref="K68:L68"/>
    <mergeCell ref="K69:L69"/>
    <mergeCell ref="K70:L70"/>
    <mergeCell ref="K71:L71"/>
    <mergeCell ref="K72:L72"/>
    <mergeCell ref="O85:P85"/>
    <mergeCell ref="O86:P86"/>
    <mergeCell ref="M76:N76"/>
    <mergeCell ref="I64:J64"/>
    <mergeCell ref="I65:J65"/>
    <mergeCell ref="R61:R62"/>
    <mergeCell ref="I63:J63"/>
    <mergeCell ref="K63:L63"/>
    <mergeCell ref="M63:N63"/>
    <mergeCell ref="O63:P63"/>
    <mergeCell ref="A61:F62"/>
    <mergeCell ref="K138:L138"/>
    <mergeCell ref="K139:L139"/>
    <mergeCell ref="K82:L82"/>
    <mergeCell ref="K83:L83"/>
    <mergeCell ref="K84:L84"/>
    <mergeCell ref="K85:L85"/>
    <mergeCell ref="K86:L86"/>
    <mergeCell ref="K88:L88"/>
    <mergeCell ref="K91:L91"/>
    <mergeCell ref="K117:L117"/>
    <mergeCell ref="K118:L118"/>
    <mergeCell ref="K119:L119"/>
    <mergeCell ref="K73:L73"/>
    <mergeCell ref="K74:L74"/>
    <mergeCell ref="K75:L75"/>
    <mergeCell ref="K76:L76"/>
    <mergeCell ref="K78:L78"/>
    <mergeCell ref="K79:L79"/>
    <mergeCell ref="K142:L142"/>
    <mergeCell ref="K143:L143"/>
    <mergeCell ref="K123:L123"/>
    <mergeCell ref="K124:L124"/>
    <mergeCell ref="K125:L125"/>
    <mergeCell ref="K126:L129"/>
    <mergeCell ref="K130:L130"/>
    <mergeCell ref="K131:L131"/>
    <mergeCell ref="K133:L133"/>
    <mergeCell ref="K134:L134"/>
    <mergeCell ref="K135:L135"/>
    <mergeCell ref="K136:L136"/>
    <mergeCell ref="K132:L132"/>
    <mergeCell ref="K50:L50"/>
    <mergeCell ref="K51:L51"/>
    <mergeCell ref="K52:L52"/>
    <mergeCell ref="K53:L53"/>
    <mergeCell ref="K54:L54"/>
    <mergeCell ref="K55:L56"/>
    <mergeCell ref="K60:L60"/>
    <mergeCell ref="K61:L62"/>
    <mergeCell ref="K64:L64"/>
    <mergeCell ref="K57:L57"/>
    <mergeCell ref="K27:L27"/>
    <mergeCell ref="K112:L112"/>
    <mergeCell ref="K113:L114"/>
    <mergeCell ref="K115:L115"/>
    <mergeCell ref="K116:L116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3"/>
    <mergeCell ref="K44:L44"/>
    <mergeCell ref="K45:L46"/>
    <mergeCell ref="K47:L47"/>
    <mergeCell ref="K48:L49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7:L8"/>
    <mergeCell ref="K9:L9"/>
    <mergeCell ref="K10:L10"/>
    <mergeCell ref="K11:L11"/>
    <mergeCell ref="K12:L13"/>
    <mergeCell ref="K14:L14"/>
    <mergeCell ref="K15:L15"/>
    <mergeCell ref="K16:L16"/>
    <mergeCell ref="K17:L17"/>
    <mergeCell ref="K100:L101"/>
    <mergeCell ref="K102:L102"/>
    <mergeCell ref="K103:L104"/>
    <mergeCell ref="K105:L105"/>
    <mergeCell ref="I95:J95"/>
    <mergeCell ref="G95:H95"/>
    <mergeCell ref="G97:H97"/>
    <mergeCell ref="G98:H98"/>
    <mergeCell ref="G100:H101"/>
    <mergeCell ref="G102:H102"/>
    <mergeCell ref="G103:H104"/>
    <mergeCell ref="G105:H105"/>
    <mergeCell ref="K120:L121"/>
    <mergeCell ref="K122:L122"/>
    <mergeCell ref="O122:P122"/>
    <mergeCell ref="O123:P123"/>
    <mergeCell ref="O124:P124"/>
    <mergeCell ref="O126:P129"/>
    <mergeCell ref="M122:N122"/>
    <mergeCell ref="M123:N123"/>
    <mergeCell ref="I88:J88"/>
    <mergeCell ref="M88:N88"/>
    <mergeCell ref="O88:P88"/>
    <mergeCell ref="I92:J92"/>
    <mergeCell ref="M92:N92"/>
    <mergeCell ref="O92:P92"/>
    <mergeCell ref="M95:N95"/>
    <mergeCell ref="M97:N97"/>
    <mergeCell ref="M98:N98"/>
    <mergeCell ref="M99:N99"/>
    <mergeCell ref="M124:N124"/>
    <mergeCell ref="O91:P91"/>
    <mergeCell ref="O93:P93"/>
    <mergeCell ref="O117:P117"/>
    <mergeCell ref="O100:P101"/>
    <mergeCell ref="O102:P102"/>
    <mergeCell ref="Q140:Q141"/>
    <mergeCell ref="R140:R141"/>
    <mergeCell ref="O139:P139"/>
    <mergeCell ref="O140:P141"/>
    <mergeCell ref="M139:N139"/>
    <mergeCell ref="M140:N141"/>
    <mergeCell ref="Q126:Q129"/>
    <mergeCell ref="R126:R129"/>
    <mergeCell ref="I131:J131"/>
    <mergeCell ref="M131:N131"/>
    <mergeCell ref="O131:P131"/>
    <mergeCell ref="I126:J129"/>
    <mergeCell ref="M126:N129"/>
    <mergeCell ref="K140:L141"/>
    <mergeCell ref="I132:J132"/>
    <mergeCell ref="M132:N132"/>
    <mergeCell ref="O132:P132"/>
    <mergeCell ref="Q120:Q121"/>
    <mergeCell ref="R120:R121"/>
    <mergeCell ref="Q113:Q114"/>
    <mergeCell ref="R113:R114"/>
    <mergeCell ref="Q100:Q101"/>
    <mergeCell ref="R100:R101"/>
    <mergeCell ref="Q103:Q104"/>
    <mergeCell ref="R103:R104"/>
    <mergeCell ref="M118:N118"/>
    <mergeCell ref="M100:N101"/>
    <mergeCell ref="M102:N102"/>
    <mergeCell ref="M103:N104"/>
    <mergeCell ref="M105:N105"/>
    <mergeCell ref="M112:N112"/>
    <mergeCell ref="M116:N116"/>
    <mergeCell ref="M117:N117"/>
    <mergeCell ref="M113:N114"/>
    <mergeCell ref="M115:N115"/>
    <mergeCell ref="O120:P121"/>
    <mergeCell ref="Q109:Q110"/>
    <mergeCell ref="R109:R110"/>
    <mergeCell ref="O113:P114"/>
    <mergeCell ref="O115:P115"/>
    <mergeCell ref="O116:P116"/>
    <mergeCell ref="Q12:Q13"/>
    <mergeCell ref="R12:R13"/>
    <mergeCell ref="Q42:Q43"/>
    <mergeCell ref="R42:R43"/>
    <mergeCell ref="Q45:Q46"/>
    <mergeCell ref="R45:R46"/>
    <mergeCell ref="Q48:Q49"/>
    <mergeCell ref="R48:R49"/>
    <mergeCell ref="Q55:Q56"/>
    <mergeCell ref="R55:R56"/>
    <mergeCell ref="O103:P104"/>
    <mergeCell ref="O105:P105"/>
    <mergeCell ref="O76:P76"/>
    <mergeCell ref="O60:P60"/>
    <mergeCell ref="O64:P64"/>
    <mergeCell ref="O65:P65"/>
    <mergeCell ref="O66:P66"/>
    <mergeCell ref="O61:P62"/>
    <mergeCell ref="O119:P119"/>
    <mergeCell ref="O80:P80"/>
    <mergeCell ref="O81:P81"/>
    <mergeCell ref="O82:P82"/>
    <mergeCell ref="O83:P83"/>
    <mergeCell ref="O84:P84"/>
    <mergeCell ref="O73:P73"/>
    <mergeCell ref="O74:P74"/>
    <mergeCell ref="O77:P77"/>
    <mergeCell ref="O78:P78"/>
    <mergeCell ref="O79:P79"/>
    <mergeCell ref="O94:P94"/>
    <mergeCell ref="O95:P95"/>
    <mergeCell ref="O97:P97"/>
    <mergeCell ref="O98:P98"/>
    <mergeCell ref="O99:P99"/>
    <mergeCell ref="O118:P118"/>
    <mergeCell ref="O112:P112"/>
    <mergeCell ref="M44:N44"/>
    <mergeCell ref="M45:N46"/>
    <mergeCell ref="M47:N47"/>
    <mergeCell ref="O42:P43"/>
    <mergeCell ref="M37:N37"/>
    <mergeCell ref="O71:P71"/>
    <mergeCell ref="O72:P72"/>
    <mergeCell ref="O69:P69"/>
    <mergeCell ref="O75:P75"/>
    <mergeCell ref="M66:N66"/>
    <mergeCell ref="M51:N51"/>
    <mergeCell ref="M52:N52"/>
    <mergeCell ref="M53:N53"/>
    <mergeCell ref="M54:N54"/>
    <mergeCell ref="M55:N56"/>
    <mergeCell ref="M72:N72"/>
    <mergeCell ref="M74:N74"/>
    <mergeCell ref="M42:N43"/>
    <mergeCell ref="M69:N69"/>
    <mergeCell ref="M61:N62"/>
    <mergeCell ref="M48:N49"/>
    <mergeCell ref="M50:N50"/>
    <mergeCell ref="M60:N60"/>
    <mergeCell ref="M64:N64"/>
    <mergeCell ref="O23:P23"/>
    <mergeCell ref="O24:P24"/>
    <mergeCell ref="O25:P25"/>
    <mergeCell ref="O26:P26"/>
    <mergeCell ref="O27:P27"/>
    <mergeCell ref="O38:P38"/>
    <mergeCell ref="O39:P39"/>
    <mergeCell ref="O40:P40"/>
    <mergeCell ref="O41:P41"/>
    <mergeCell ref="O31:P31"/>
    <mergeCell ref="O32:P32"/>
    <mergeCell ref="O33:P33"/>
    <mergeCell ref="O34:P34"/>
    <mergeCell ref="O35:P35"/>
    <mergeCell ref="O36:P36"/>
    <mergeCell ref="O37:P37"/>
    <mergeCell ref="O28:P28"/>
    <mergeCell ref="M28:N28"/>
    <mergeCell ref="M29:N29"/>
    <mergeCell ref="M30:N30"/>
    <mergeCell ref="M31:N31"/>
    <mergeCell ref="M32:N32"/>
    <mergeCell ref="O20:P20"/>
    <mergeCell ref="O21:P21"/>
    <mergeCell ref="O22:P22"/>
    <mergeCell ref="M67:N67"/>
    <mergeCell ref="M68:N68"/>
    <mergeCell ref="M70:N70"/>
    <mergeCell ref="M71:N71"/>
    <mergeCell ref="M119:N119"/>
    <mergeCell ref="M120:N121"/>
    <mergeCell ref="O29:P29"/>
    <mergeCell ref="O30:P30"/>
    <mergeCell ref="O52:P52"/>
    <mergeCell ref="O53:P53"/>
    <mergeCell ref="O54:P54"/>
    <mergeCell ref="O55:P56"/>
    <mergeCell ref="O44:P44"/>
    <mergeCell ref="O45:P46"/>
    <mergeCell ref="O47:P47"/>
    <mergeCell ref="O48:P49"/>
    <mergeCell ref="O50:P50"/>
    <mergeCell ref="O51:P51"/>
    <mergeCell ref="O67:P67"/>
    <mergeCell ref="O68:P68"/>
    <mergeCell ref="O70:P70"/>
    <mergeCell ref="O10:P10"/>
    <mergeCell ref="O11:P11"/>
    <mergeCell ref="O12:P13"/>
    <mergeCell ref="O14:P14"/>
    <mergeCell ref="O15:P15"/>
    <mergeCell ref="O16:P16"/>
    <mergeCell ref="O17:P17"/>
    <mergeCell ref="O18:P18"/>
    <mergeCell ref="O19:P19"/>
    <mergeCell ref="M38:N38"/>
    <mergeCell ref="M39:N39"/>
    <mergeCell ref="M40:N40"/>
    <mergeCell ref="M41:N41"/>
    <mergeCell ref="M34:N34"/>
    <mergeCell ref="M35:N35"/>
    <mergeCell ref="M36:N36"/>
    <mergeCell ref="M33:N33"/>
    <mergeCell ref="I119:J119"/>
    <mergeCell ref="I68:J68"/>
    <mergeCell ref="I70:J70"/>
    <mergeCell ref="M77:N77"/>
    <mergeCell ref="M85:N85"/>
    <mergeCell ref="M86:N86"/>
    <mergeCell ref="M91:N91"/>
    <mergeCell ref="M83:N83"/>
    <mergeCell ref="M84:N84"/>
    <mergeCell ref="M73:N73"/>
    <mergeCell ref="M80:N80"/>
    <mergeCell ref="M81:N81"/>
    <mergeCell ref="M82:N82"/>
    <mergeCell ref="M78:N78"/>
    <mergeCell ref="M79:N79"/>
    <mergeCell ref="M75:N75"/>
    <mergeCell ref="I115:J115"/>
    <mergeCell ref="I120:J121"/>
    <mergeCell ref="I102:J102"/>
    <mergeCell ref="I105:J105"/>
    <mergeCell ref="I87:J87"/>
    <mergeCell ref="I111:J111"/>
    <mergeCell ref="I89:J89"/>
    <mergeCell ref="I113:J114"/>
    <mergeCell ref="I100:J101"/>
    <mergeCell ref="I103:J104"/>
    <mergeCell ref="I118:J118"/>
    <mergeCell ref="I112:J112"/>
    <mergeCell ref="I82:J82"/>
    <mergeCell ref="I83:J83"/>
    <mergeCell ref="I84:J84"/>
    <mergeCell ref="I85:J85"/>
    <mergeCell ref="I74:J74"/>
    <mergeCell ref="I77:J77"/>
    <mergeCell ref="I78:J78"/>
    <mergeCell ref="I79:J79"/>
    <mergeCell ref="I80:J80"/>
    <mergeCell ref="K77:L77"/>
    <mergeCell ref="I143:J143"/>
    <mergeCell ref="I97:J97"/>
    <mergeCell ref="I98:J98"/>
    <mergeCell ref="I99:J99"/>
    <mergeCell ref="I86:J86"/>
    <mergeCell ref="I91:J91"/>
    <mergeCell ref="I93:J93"/>
    <mergeCell ref="I94:J94"/>
    <mergeCell ref="I140:J141"/>
    <mergeCell ref="I142:J142"/>
    <mergeCell ref="I130:J130"/>
    <mergeCell ref="I134:J134"/>
    <mergeCell ref="I135:J135"/>
    <mergeCell ref="I139:J139"/>
    <mergeCell ref="I122:J122"/>
    <mergeCell ref="I123:J123"/>
    <mergeCell ref="I124:J124"/>
    <mergeCell ref="I133:J133"/>
    <mergeCell ref="I136:J136"/>
    <mergeCell ref="I116:J116"/>
    <mergeCell ref="I117:J117"/>
    <mergeCell ref="I125:J125"/>
    <mergeCell ref="I81:J81"/>
    <mergeCell ref="M10:N10"/>
    <mergeCell ref="M11:N11"/>
    <mergeCell ref="M12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I71:J71"/>
    <mergeCell ref="I72:J72"/>
    <mergeCell ref="I73:J73"/>
    <mergeCell ref="I69:J69"/>
    <mergeCell ref="I75:J75"/>
    <mergeCell ref="I76:J76"/>
    <mergeCell ref="I60:J60"/>
    <mergeCell ref="I36:J36"/>
    <mergeCell ref="I37:J37"/>
    <mergeCell ref="I38:J38"/>
    <mergeCell ref="I29:J29"/>
    <mergeCell ref="I30:J30"/>
    <mergeCell ref="I31:J31"/>
    <mergeCell ref="I32:J32"/>
    <mergeCell ref="I33:J33"/>
    <mergeCell ref="M65:N65"/>
    <mergeCell ref="M23:N23"/>
    <mergeCell ref="M24:N24"/>
    <mergeCell ref="M25:N25"/>
    <mergeCell ref="M26:N26"/>
    <mergeCell ref="M27:N27"/>
    <mergeCell ref="I66:J66"/>
    <mergeCell ref="I67:J67"/>
    <mergeCell ref="I61:J62"/>
    <mergeCell ref="I24:J24"/>
    <mergeCell ref="I25:J25"/>
    <mergeCell ref="I26:J26"/>
    <mergeCell ref="I27:J27"/>
    <mergeCell ref="I51:J51"/>
    <mergeCell ref="I52:J52"/>
    <mergeCell ref="I53:J53"/>
    <mergeCell ref="I54:J54"/>
    <mergeCell ref="I55:J56"/>
    <mergeCell ref="I48:J49"/>
    <mergeCell ref="I50:J50"/>
    <mergeCell ref="I39:J39"/>
    <mergeCell ref="I40:J40"/>
    <mergeCell ref="I41:J41"/>
    <mergeCell ref="I47:J47"/>
    <mergeCell ref="I34:J34"/>
    <mergeCell ref="I35:J35"/>
    <mergeCell ref="I57:J57"/>
    <mergeCell ref="A140:F140"/>
    <mergeCell ref="A141:F141"/>
    <mergeCell ref="I7:J8"/>
    <mergeCell ref="A127:F127"/>
    <mergeCell ref="A56:F56"/>
    <mergeCell ref="A63:F63"/>
    <mergeCell ref="A48:F48"/>
    <mergeCell ref="A49:F49"/>
    <mergeCell ref="A67:F67"/>
    <mergeCell ref="A55:F55"/>
    <mergeCell ref="I138:J138"/>
    <mergeCell ref="G7:H8"/>
    <mergeCell ref="G9:H9"/>
    <mergeCell ref="G10:H10"/>
    <mergeCell ref="A84:F84"/>
    <mergeCell ref="A103:F103"/>
    <mergeCell ref="G94:H94"/>
    <mergeCell ref="G34:H34"/>
    <mergeCell ref="G35:H35"/>
    <mergeCell ref="G36:H36"/>
    <mergeCell ref="G37:H37"/>
    <mergeCell ref="G38:H38"/>
    <mergeCell ref="G39:H39"/>
    <mergeCell ref="G40:H40"/>
    <mergeCell ref="M7:N8"/>
    <mergeCell ref="I9:J9"/>
    <mergeCell ref="M9:N9"/>
    <mergeCell ref="I10:J10"/>
    <mergeCell ref="I11:J11"/>
    <mergeCell ref="A121:F121"/>
    <mergeCell ref="A119:F119"/>
    <mergeCell ref="A125:F125"/>
    <mergeCell ref="A126:F126"/>
    <mergeCell ref="A104:F104"/>
    <mergeCell ref="A112:F112"/>
    <mergeCell ref="A113:F113"/>
    <mergeCell ref="A114:F114"/>
    <mergeCell ref="A120:F120"/>
    <mergeCell ref="A86:F86"/>
    <mergeCell ref="A80:F80"/>
    <mergeCell ref="A100:F100"/>
    <mergeCell ref="A101:F101"/>
    <mergeCell ref="A82:F82"/>
    <mergeCell ref="A70:F70"/>
    <mergeCell ref="A11:F11"/>
    <mergeCell ref="A10:F10"/>
    <mergeCell ref="A12:F12"/>
    <mergeCell ref="A13:F13"/>
    <mergeCell ref="O7:P8"/>
    <mergeCell ref="O9:P9"/>
    <mergeCell ref="A54:F54"/>
    <mergeCell ref="A7:F8"/>
    <mergeCell ref="A9:F9"/>
    <mergeCell ref="I28:J28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I44:J44"/>
    <mergeCell ref="I45:J46"/>
    <mergeCell ref="I12:J13"/>
    <mergeCell ref="I42:J43"/>
    <mergeCell ref="A42:F42"/>
    <mergeCell ref="A43:F43"/>
    <mergeCell ref="A45:F45"/>
    <mergeCell ref="A46:F46"/>
    <mergeCell ref="M142:N142"/>
    <mergeCell ref="M143:N143"/>
    <mergeCell ref="M125:N125"/>
    <mergeCell ref="M130:N130"/>
    <mergeCell ref="M134:N134"/>
    <mergeCell ref="M135:N135"/>
    <mergeCell ref="O142:P142"/>
    <mergeCell ref="O143:P143"/>
    <mergeCell ref="O125:P125"/>
    <mergeCell ref="O130:P130"/>
    <mergeCell ref="O134:P134"/>
    <mergeCell ref="O135:P135"/>
    <mergeCell ref="M138:N138"/>
    <mergeCell ref="O138:P138"/>
    <mergeCell ref="M133:N133"/>
    <mergeCell ref="O133:P133"/>
    <mergeCell ref="M136:N136"/>
    <mergeCell ref="O136:P136"/>
    <mergeCell ref="A5:R5"/>
    <mergeCell ref="A128:F128"/>
    <mergeCell ref="G11:H11"/>
    <mergeCell ref="G12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41:H41"/>
    <mergeCell ref="G42:H43"/>
    <mergeCell ref="G44:H44"/>
    <mergeCell ref="G45:H46"/>
    <mergeCell ref="G47:H47"/>
    <mergeCell ref="G48:H49"/>
    <mergeCell ref="G50:H50"/>
    <mergeCell ref="G51:H51"/>
    <mergeCell ref="G52:H52"/>
    <mergeCell ref="G53:H53"/>
    <mergeCell ref="G54:H54"/>
    <mergeCell ref="G55:H56"/>
    <mergeCell ref="G60:H60"/>
    <mergeCell ref="G61:H62"/>
    <mergeCell ref="G63:H63"/>
    <mergeCell ref="G64:H64"/>
    <mergeCell ref="G65:H65"/>
    <mergeCell ref="G66:H66"/>
    <mergeCell ref="G57:H57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8:H88"/>
    <mergeCell ref="G91:H91"/>
    <mergeCell ref="G92:H92"/>
    <mergeCell ref="G93:H93"/>
    <mergeCell ref="G99:H99"/>
    <mergeCell ref="G87:H87"/>
    <mergeCell ref="G89:H89"/>
    <mergeCell ref="G112:H112"/>
    <mergeCell ref="G113:H114"/>
    <mergeCell ref="G115:H115"/>
    <mergeCell ref="G116:H116"/>
    <mergeCell ref="G117:H117"/>
    <mergeCell ref="G118:H118"/>
    <mergeCell ref="G119:H119"/>
    <mergeCell ref="G120:H121"/>
    <mergeCell ref="G111:H111"/>
    <mergeCell ref="G138:H138"/>
    <mergeCell ref="G139:H139"/>
    <mergeCell ref="G140:H141"/>
    <mergeCell ref="G142:H142"/>
    <mergeCell ref="G143:H143"/>
    <mergeCell ref="G124:H124"/>
    <mergeCell ref="G125:H125"/>
    <mergeCell ref="G126:H129"/>
    <mergeCell ref="G130:H130"/>
    <mergeCell ref="G131:H131"/>
    <mergeCell ref="G133:H133"/>
    <mergeCell ref="G134:H134"/>
    <mergeCell ref="G135:H135"/>
    <mergeCell ref="G136:H136"/>
    <mergeCell ref="G132:H132"/>
    <mergeCell ref="K87:L87"/>
    <mergeCell ref="M87:N87"/>
    <mergeCell ref="O87:P87"/>
    <mergeCell ref="G96:H96"/>
    <mergeCell ref="I96:J96"/>
    <mergeCell ref="K96:L96"/>
    <mergeCell ref="M96:N96"/>
    <mergeCell ref="O96:P96"/>
    <mergeCell ref="A109:F109"/>
    <mergeCell ref="G109:H110"/>
    <mergeCell ref="I109:J110"/>
    <mergeCell ref="K109:L110"/>
    <mergeCell ref="M109:N110"/>
    <mergeCell ref="O109:P110"/>
    <mergeCell ref="A110:F110"/>
    <mergeCell ref="K92:L92"/>
    <mergeCell ref="K93:L93"/>
    <mergeCell ref="K94:L94"/>
    <mergeCell ref="K95:L95"/>
    <mergeCell ref="K97:L97"/>
    <mergeCell ref="K98:L98"/>
    <mergeCell ref="K99:L99"/>
    <mergeCell ref="M93:N93"/>
    <mergeCell ref="M94:N94"/>
    <mergeCell ref="Q106:Q107"/>
    <mergeCell ref="R106:R107"/>
    <mergeCell ref="A107:F107"/>
    <mergeCell ref="G108:H108"/>
    <mergeCell ref="I108:J108"/>
    <mergeCell ref="K108:L108"/>
    <mergeCell ref="M108:N108"/>
    <mergeCell ref="O108:P108"/>
    <mergeCell ref="G137:H137"/>
    <mergeCell ref="I137:J137"/>
    <mergeCell ref="K137:L137"/>
    <mergeCell ref="M137:N137"/>
    <mergeCell ref="O137:P137"/>
    <mergeCell ref="K111:L111"/>
    <mergeCell ref="M111:N111"/>
    <mergeCell ref="O111:P111"/>
    <mergeCell ref="A106:F106"/>
    <mergeCell ref="G106:H107"/>
    <mergeCell ref="I106:J107"/>
    <mergeCell ref="K106:L107"/>
    <mergeCell ref="M106:N107"/>
    <mergeCell ref="O106:P107"/>
    <mergeCell ref="G122:H122"/>
    <mergeCell ref="G123:H123"/>
    <mergeCell ref="M57:N57"/>
    <mergeCell ref="O57:P57"/>
    <mergeCell ref="G58:H58"/>
    <mergeCell ref="I58:J58"/>
    <mergeCell ref="K58:L58"/>
    <mergeCell ref="M58:N58"/>
    <mergeCell ref="O58:P58"/>
    <mergeCell ref="G59:H59"/>
    <mergeCell ref="I59:J59"/>
    <mergeCell ref="K59:L59"/>
    <mergeCell ref="M59:N59"/>
    <mergeCell ref="O59:P59"/>
  </mergeCells>
  <pageMargins left="0.7" right="0.7" top="0.75" bottom="0.75" header="0.3" footer="0.3"/>
  <pageSetup paperSize="9" scale="53" orientation="portrait" r:id="rId2"/>
  <rowBreaks count="1" manualBreakCount="1">
    <brk id="53" max="16383" man="1"/>
  </rowBreaks>
  <ignoredErrors>
    <ignoredError sqref="Q112:R119 Q138:R145 Q61:R85 Q97:R105 Q106:R111 Q133:R137 Q86:R96 Q10:R15 Q57:R60 Q17:R56 R16 Q120:R131 Q132:R132" evalError="1"/>
    <ignoredError sqref="I20 I82:J82 I27:J43 I121:J121 J119 I114:J114 J112 J113 I116:J118 J115 J105 I103:J104 J102 J143 I65:J66 J63 J64 I69:J69 I67:J67 J68 I72:J79 I70:J70 J71 I80:J80 I84:J84 I81:J81 I97:J99 J88 I62:J62 J61 I101:J101 J100 I127:J129 J122 J120 J125 J126 I138:J141 J130 J131 J142 I46:J46 J44 J45 I49:J49 J47 J48 I51:J53 J50 J60 I91:J95 I133:J136 I86" formula="1"/>
    <ignoredError sqref="K84:P8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topLeftCell="A4" zoomScaleNormal="100" workbookViewId="0">
      <selection activeCell="A5" sqref="A5:P5"/>
    </sheetView>
  </sheetViews>
  <sheetFormatPr defaultRowHeight="15" x14ac:dyDescent="0.25"/>
  <cols>
    <col min="1" max="16" width="8.85546875" customWidth="1"/>
    <col min="18" max="18" width="11.7109375" bestFit="1" customWidth="1"/>
    <col min="19" max="19" width="10.140625" bestFit="1" customWidth="1"/>
  </cols>
  <sheetData>
    <row r="1" spans="1:19" x14ac:dyDescent="0.25">
      <c r="A1" s="1" t="s">
        <v>22</v>
      </c>
    </row>
    <row r="2" spans="1:19" x14ac:dyDescent="0.25">
      <c r="A2" t="s">
        <v>20</v>
      </c>
    </row>
    <row r="3" spans="1:19" x14ac:dyDescent="0.25">
      <c r="A3" t="s">
        <v>21</v>
      </c>
    </row>
    <row r="5" spans="1:19" x14ac:dyDescent="0.25">
      <c r="A5" s="111" t="s">
        <v>207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7" spans="1:19" ht="15.75" thickBot="1" x14ac:dyDescent="0.3">
      <c r="A7" s="1" t="s">
        <v>165</v>
      </c>
    </row>
    <row r="8" spans="1:19" ht="15" customHeight="1" x14ac:dyDescent="0.25">
      <c r="A8" s="314" t="s">
        <v>12</v>
      </c>
      <c r="B8" s="315"/>
      <c r="C8" s="315"/>
      <c r="D8" s="315"/>
      <c r="E8" s="218" t="s">
        <v>196</v>
      </c>
      <c r="F8" s="219"/>
      <c r="G8" s="218" t="s">
        <v>197</v>
      </c>
      <c r="H8" s="219"/>
      <c r="I8" s="218" t="s">
        <v>198</v>
      </c>
      <c r="J8" s="219"/>
      <c r="K8" s="218" t="s">
        <v>199</v>
      </c>
      <c r="L8" s="219"/>
      <c r="M8" s="222" t="s">
        <v>200</v>
      </c>
      <c r="N8" s="222"/>
      <c r="O8" s="25" t="s">
        <v>51</v>
      </c>
      <c r="P8" s="25" t="s">
        <v>51</v>
      </c>
    </row>
    <row r="9" spans="1:19" x14ac:dyDescent="0.25">
      <c r="A9" s="38" t="s">
        <v>166</v>
      </c>
      <c r="B9" s="316" t="s">
        <v>167</v>
      </c>
      <c r="C9" s="316"/>
      <c r="D9" s="316"/>
      <c r="E9" s="220"/>
      <c r="F9" s="221"/>
      <c r="G9" s="220"/>
      <c r="H9" s="221"/>
      <c r="I9" s="220"/>
      <c r="J9" s="221"/>
      <c r="K9" s="220"/>
      <c r="L9" s="221"/>
      <c r="M9" s="223"/>
      <c r="N9" s="223"/>
      <c r="O9" s="28" t="s">
        <v>194</v>
      </c>
      <c r="P9" s="26" t="s">
        <v>195</v>
      </c>
    </row>
    <row r="10" spans="1:19" ht="15.75" thickBot="1" x14ac:dyDescent="0.3">
      <c r="A10" s="216">
        <v>1</v>
      </c>
      <c r="B10" s="217"/>
      <c r="C10" s="217"/>
      <c r="D10" s="217"/>
      <c r="E10" s="216">
        <v>2</v>
      </c>
      <c r="F10" s="217"/>
      <c r="G10" s="216">
        <v>3</v>
      </c>
      <c r="H10" s="217"/>
      <c r="I10" s="216">
        <v>4</v>
      </c>
      <c r="J10" s="217"/>
      <c r="K10" s="216">
        <v>5</v>
      </c>
      <c r="L10" s="217"/>
      <c r="M10" s="216">
        <v>6</v>
      </c>
      <c r="N10" s="217"/>
      <c r="O10" s="27">
        <v>7</v>
      </c>
      <c r="P10" s="27">
        <v>8</v>
      </c>
    </row>
    <row r="11" spans="1:19" x14ac:dyDescent="0.25">
      <c r="A11" s="39">
        <v>11</v>
      </c>
      <c r="B11" s="40" t="s">
        <v>155</v>
      </c>
      <c r="C11" s="40"/>
      <c r="D11" s="40"/>
      <c r="E11" s="118">
        <v>66162.66</v>
      </c>
      <c r="F11" s="119"/>
      <c r="G11" s="118">
        <f>E11/7.5345</f>
        <v>8781.2940473820418</v>
      </c>
      <c r="H11" s="119"/>
      <c r="I11" s="118"/>
      <c r="J11" s="119"/>
      <c r="K11" s="317">
        <v>11361.51</v>
      </c>
      <c r="L11" s="318"/>
      <c r="M11" s="118">
        <v>9591.8799999999992</v>
      </c>
      <c r="N11" s="119"/>
      <c r="O11" s="68">
        <f>M11/G11*100</f>
        <v>109.23082575579639</v>
      </c>
      <c r="P11" s="68">
        <f>M11/K11*100</f>
        <v>84.42434148277826</v>
      </c>
      <c r="R11" s="37"/>
      <c r="S11" s="37"/>
    </row>
    <row r="12" spans="1:19" x14ac:dyDescent="0.25">
      <c r="A12" s="12">
        <v>12</v>
      </c>
      <c r="B12" s="4" t="s">
        <v>156</v>
      </c>
      <c r="C12" s="4"/>
      <c r="D12" s="4"/>
      <c r="E12" s="90">
        <v>60638.23</v>
      </c>
      <c r="F12" s="91"/>
      <c r="G12" s="90">
        <f>E12/7.5345</f>
        <v>8048.0761828920304</v>
      </c>
      <c r="H12" s="91"/>
      <c r="I12" s="90"/>
      <c r="J12" s="91"/>
      <c r="K12" s="306"/>
      <c r="L12" s="307"/>
      <c r="M12" s="90"/>
      <c r="N12" s="91"/>
      <c r="O12" s="57">
        <f>M12/G12*100</f>
        <v>0</v>
      </c>
      <c r="P12" s="57" t="e">
        <f>M12/K12*100</f>
        <v>#DIV/0!</v>
      </c>
      <c r="R12" s="37"/>
      <c r="S12" s="37"/>
    </row>
    <row r="13" spans="1:19" x14ac:dyDescent="0.25">
      <c r="A13" s="12">
        <v>19</v>
      </c>
      <c r="B13" s="4" t="s">
        <v>157</v>
      </c>
      <c r="C13" s="4"/>
      <c r="D13" s="4"/>
      <c r="E13" s="90">
        <v>5395.41</v>
      </c>
      <c r="F13" s="91"/>
      <c r="G13" s="90">
        <f t="shared" ref="G13:G21" si="0">E13/7.5345</f>
        <v>716.0939677483575</v>
      </c>
      <c r="H13" s="91"/>
      <c r="I13" s="90"/>
      <c r="J13" s="91"/>
      <c r="K13" s="306">
        <v>5620.12</v>
      </c>
      <c r="L13" s="307"/>
      <c r="M13" s="90">
        <v>5620.12</v>
      </c>
      <c r="N13" s="91"/>
      <c r="O13" s="57">
        <f>M13/G13*100</f>
        <v>784.8299599103683</v>
      </c>
      <c r="P13" s="57">
        <f>M13/K13*100</f>
        <v>100</v>
      </c>
      <c r="R13" s="37"/>
      <c r="S13" s="37"/>
    </row>
    <row r="14" spans="1:19" x14ac:dyDescent="0.25">
      <c r="A14" s="12">
        <v>31</v>
      </c>
      <c r="B14" s="4" t="s">
        <v>158</v>
      </c>
      <c r="C14" s="4"/>
      <c r="D14" s="4"/>
      <c r="E14" s="90">
        <v>18090</v>
      </c>
      <c r="F14" s="91"/>
      <c r="G14" s="90">
        <f t="shared" si="0"/>
        <v>2400.955604220585</v>
      </c>
      <c r="H14" s="91"/>
      <c r="I14" s="90">
        <f>796.34+796.34</f>
        <v>1592.68</v>
      </c>
      <c r="J14" s="91"/>
      <c r="K14" s="306">
        <v>3000</v>
      </c>
      <c r="L14" s="307"/>
      <c r="M14" s="90">
        <v>3478.09</v>
      </c>
      <c r="N14" s="91"/>
      <c r="O14" s="57">
        <f t="shared" ref="O14:O20" si="1">M14/G14*100</f>
        <v>144.86273689883916</v>
      </c>
      <c r="P14" s="57">
        <f t="shared" ref="P14:P22" si="2">M14/K14*100</f>
        <v>115.93633333333332</v>
      </c>
    </row>
    <row r="15" spans="1:19" x14ac:dyDescent="0.25">
      <c r="A15" s="12">
        <v>41</v>
      </c>
      <c r="B15" s="4" t="s">
        <v>153</v>
      </c>
      <c r="C15" s="4"/>
      <c r="D15" s="4"/>
      <c r="E15" s="90">
        <v>5670</v>
      </c>
      <c r="F15" s="91"/>
      <c r="G15" s="90">
        <f t="shared" si="0"/>
        <v>752.53832371092972</v>
      </c>
      <c r="H15" s="91"/>
      <c r="I15" s="90">
        <f>1061.79</f>
        <v>1061.79</v>
      </c>
      <c r="J15" s="91"/>
      <c r="K15" s="306">
        <v>600</v>
      </c>
      <c r="L15" s="307"/>
      <c r="M15" s="90">
        <v>573.97</v>
      </c>
      <c r="N15" s="91"/>
      <c r="O15" s="57">
        <f t="shared" si="1"/>
        <v>76.271198677248691</v>
      </c>
      <c r="P15" s="57">
        <f t="shared" si="2"/>
        <v>95.661666666666662</v>
      </c>
      <c r="R15" s="37"/>
      <c r="S15" s="37"/>
    </row>
    <row r="16" spans="1:19" x14ac:dyDescent="0.25">
      <c r="A16" s="12">
        <v>42</v>
      </c>
      <c r="B16" s="4" t="s">
        <v>159</v>
      </c>
      <c r="C16" s="4"/>
      <c r="D16" s="4"/>
      <c r="E16" s="90">
        <v>103547.03</v>
      </c>
      <c r="F16" s="91"/>
      <c r="G16" s="90">
        <f t="shared" si="0"/>
        <v>13743.052624593536</v>
      </c>
      <c r="H16" s="91"/>
      <c r="I16" s="90">
        <f>1858.12+929.06+929.06+1061.79+2654.46+9130.02+5308.92</f>
        <v>21871.43</v>
      </c>
      <c r="J16" s="91"/>
      <c r="K16" s="306">
        <v>30664.7</v>
      </c>
      <c r="L16" s="307"/>
      <c r="M16" s="306">
        <v>29933.95</v>
      </c>
      <c r="N16" s="307"/>
      <c r="O16" s="57">
        <f t="shared" si="1"/>
        <v>217.81150678585374</v>
      </c>
      <c r="P16" s="57">
        <f t="shared" si="2"/>
        <v>97.616966740258334</v>
      </c>
      <c r="R16" s="37"/>
      <c r="S16" s="37"/>
    </row>
    <row r="17" spans="1:19" x14ac:dyDescent="0.25">
      <c r="A17" s="12">
        <v>45</v>
      </c>
      <c r="B17" s="4" t="s">
        <v>160</v>
      </c>
      <c r="C17" s="4"/>
      <c r="D17" s="4"/>
      <c r="E17" s="90">
        <f>703993.44-66162.66-5395.41</f>
        <v>632435.36999999988</v>
      </c>
      <c r="F17" s="91"/>
      <c r="G17" s="90">
        <f t="shared" si="0"/>
        <v>83938.598447143115</v>
      </c>
      <c r="H17" s="91"/>
      <c r="I17" s="90">
        <v>140983.98000000001</v>
      </c>
      <c r="J17" s="91"/>
      <c r="K17" s="306">
        <v>190788.68</v>
      </c>
      <c r="L17" s="307"/>
      <c r="M17" s="90">
        <v>88973.06</v>
      </c>
      <c r="N17" s="91"/>
      <c r="O17" s="57">
        <f t="shared" si="1"/>
        <v>105.99779082090241</v>
      </c>
      <c r="P17" s="57">
        <f t="shared" si="2"/>
        <v>46.63434958510117</v>
      </c>
    </row>
    <row r="18" spans="1:19" x14ac:dyDescent="0.25">
      <c r="A18" s="12">
        <v>51</v>
      </c>
      <c r="B18" s="4" t="s">
        <v>161</v>
      </c>
      <c r="C18" s="4"/>
      <c r="D18" s="4"/>
      <c r="E18" s="90">
        <f>5129469.67+6474.9</f>
        <v>5135944.57</v>
      </c>
      <c r="F18" s="91"/>
      <c r="G18" s="90">
        <f t="shared" si="0"/>
        <v>681656.98719224904</v>
      </c>
      <c r="H18" s="91"/>
      <c r="I18" s="90">
        <f>1369832.12+15926.74+132.73+929.06</f>
        <v>1386820.6500000001</v>
      </c>
      <c r="J18" s="91"/>
      <c r="K18" s="306">
        <v>1540691.62</v>
      </c>
      <c r="L18" s="307"/>
      <c r="M18" s="90">
        <f>748072.82+36057.12+1427.2</f>
        <v>785557.1399999999</v>
      </c>
      <c r="N18" s="91"/>
      <c r="O18" s="57">
        <f t="shared" si="1"/>
        <v>115.2422926427728</v>
      </c>
      <c r="P18" s="57">
        <f t="shared" si="2"/>
        <v>50.987305298642426</v>
      </c>
      <c r="R18" s="37"/>
      <c r="S18" s="37"/>
    </row>
    <row r="19" spans="1:19" x14ac:dyDescent="0.25">
      <c r="A19" s="12">
        <v>53</v>
      </c>
      <c r="B19" s="4" t="s">
        <v>162</v>
      </c>
      <c r="C19" s="4"/>
      <c r="D19" s="4"/>
      <c r="E19" s="90"/>
      <c r="F19" s="91"/>
      <c r="G19" s="90">
        <f t="shared" si="0"/>
        <v>0</v>
      </c>
      <c r="H19" s="91"/>
      <c r="I19" s="90"/>
      <c r="J19" s="91"/>
      <c r="K19" s="306"/>
      <c r="L19" s="307"/>
      <c r="M19" s="90"/>
      <c r="N19" s="91"/>
      <c r="O19" s="57" t="e">
        <f t="shared" si="1"/>
        <v>#DIV/0!</v>
      </c>
      <c r="P19" s="57" t="e">
        <f t="shared" si="2"/>
        <v>#DIV/0!</v>
      </c>
    </row>
    <row r="20" spans="1:19" x14ac:dyDescent="0.25">
      <c r="A20" s="12">
        <v>54</v>
      </c>
      <c r="B20" s="4" t="s">
        <v>163</v>
      </c>
      <c r="C20" s="4"/>
      <c r="D20" s="4"/>
      <c r="E20" s="90">
        <v>2905.22</v>
      </c>
      <c r="F20" s="91"/>
      <c r="G20" s="90">
        <f t="shared" si="0"/>
        <v>385.58895746233986</v>
      </c>
      <c r="H20" s="91"/>
      <c r="I20" s="90"/>
      <c r="J20" s="91"/>
      <c r="K20" s="306">
        <v>2442.2600000000002</v>
      </c>
      <c r="L20" s="307"/>
      <c r="M20" s="90">
        <v>2442.2600000000002</v>
      </c>
      <c r="N20" s="91"/>
      <c r="O20" s="57">
        <f t="shared" si="1"/>
        <v>633.38432098085525</v>
      </c>
      <c r="P20" s="57">
        <f t="shared" si="2"/>
        <v>100</v>
      </c>
    </row>
    <row r="21" spans="1:19" ht="15.75" thickBot="1" x14ac:dyDescent="0.3">
      <c r="A21" s="41">
        <v>61</v>
      </c>
      <c r="B21" s="42" t="s">
        <v>164</v>
      </c>
      <c r="C21" s="42"/>
      <c r="D21" s="42"/>
      <c r="E21" s="90">
        <v>73292.800000000003</v>
      </c>
      <c r="F21" s="91"/>
      <c r="G21" s="90">
        <f t="shared" si="0"/>
        <v>9727.6262525715047</v>
      </c>
      <c r="H21" s="91"/>
      <c r="I21" s="261"/>
      <c r="J21" s="262"/>
      <c r="K21" s="319">
        <v>4000</v>
      </c>
      <c r="L21" s="320"/>
      <c r="M21" s="261">
        <f>5206.16+450.1</f>
        <v>5656.26</v>
      </c>
      <c r="N21" s="262"/>
      <c r="O21" s="57">
        <f>M21/G21*100</f>
        <v>58.146354034775584</v>
      </c>
      <c r="P21" s="57">
        <f t="shared" si="2"/>
        <v>141.40650000000002</v>
      </c>
    </row>
    <row r="22" spans="1:19" ht="15.75" thickBot="1" x14ac:dyDescent="0.3">
      <c r="A22" s="321" t="s">
        <v>154</v>
      </c>
      <c r="B22" s="321"/>
      <c r="C22" s="321"/>
      <c r="D22" s="321"/>
      <c r="E22" s="322">
        <f t="shared" ref="E22" si="3">SUM(E11:F21)</f>
        <v>6104081.29</v>
      </c>
      <c r="F22" s="323"/>
      <c r="G22" s="322">
        <f>SUM(G11:H21)</f>
        <v>810150.81159997347</v>
      </c>
      <c r="H22" s="323"/>
      <c r="I22" s="322">
        <f>SUM(I11:J21)</f>
        <v>1552330.5300000003</v>
      </c>
      <c r="J22" s="323"/>
      <c r="K22" s="322">
        <f t="shared" ref="K22" si="4">SUM(K11:L21)</f>
        <v>1789168.8900000001</v>
      </c>
      <c r="L22" s="323"/>
      <c r="M22" s="322">
        <f t="shared" ref="M22" si="5">SUM(M11:N21)</f>
        <v>931826.73</v>
      </c>
      <c r="N22" s="323"/>
      <c r="O22" s="69">
        <f>M22/G22*100</f>
        <v>115.01892199055233</v>
      </c>
      <c r="P22" s="69">
        <f t="shared" si="2"/>
        <v>52.08154105563505</v>
      </c>
      <c r="R22" s="37"/>
    </row>
    <row r="24" spans="1:19" ht="15.75" thickBot="1" x14ac:dyDescent="0.3">
      <c r="A24" s="1" t="s">
        <v>168</v>
      </c>
      <c r="S24" s="37"/>
    </row>
    <row r="25" spans="1:19" ht="15" customHeight="1" x14ac:dyDescent="0.25">
      <c r="A25" s="314" t="s">
        <v>12</v>
      </c>
      <c r="B25" s="315"/>
      <c r="C25" s="315"/>
      <c r="D25" s="315"/>
      <c r="E25" s="218" t="s">
        <v>196</v>
      </c>
      <c r="F25" s="219"/>
      <c r="G25" s="218" t="s">
        <v>197</v>
      </c>
      <c r="H25" s="219"/>
      <c r="I25" s="218" t="s">
        <v>198</v>
      </c>
      <c r="J25" s="219"/>
      <c r="K25" s="218" t="s">
        <v>199</v>
      </c>
      <c r="L25" s="219"/>
      <c r="M25" s="222" t="s">
        <v>200</v>
      </c>
      <c r="N25" s="222"/>
      <c r="O25" s="25" t="s">
        <v>51</v>
      </c>
      <c r="P25" s="25" t="s">
        <v>51</v>
      </c>
    </row>
    <row r="26" spans="1:19" x14ac:dyDescent="0.25">
      <c r="A26" s="38" t="s">
        <v>166</v>
      </c>
      <c r="B26" s="316" t="s">
        <v>167</v>
      </c>
      <c r="C26" s="316"/>
      <c r="D26" s="316"/>
      <c r="E26" s="220"/>
      <c r="F26" s="221"/>
      <c r="G26" s="220"/>
      <c r="H26" s="221"/>
      <c r="I26" s="220"/>
      <c r="J26" s="221"/>
      <c r="K26" s="220"/>
      <c r="L26" s="221"/>
      <c r="M26" s="223"/>
      <c r="N26" s="223"/>
      <c r="O26" s="28" t="s">
        <v>194</v>
      </c>
      <c r="P26" s="26" t="s">
        <v>195</v>
      </c>
    </row>
    <row r="27" spans="1:19" ht="15.75" thickBot="1" x14ac:dyDescent="0.3">
      <c r="A27" s="216">
        <v>1</v>
      </c>
      <c r="B27" s="217"/>
      <c r="C27" s="217"/>
      <c r="D27" s="217"/>
      <c r="E27" s="216">
        <v>2</v>
      </c>
      <c r="F27" s="217"/>
      <c r="G27" s="216">
        <v>3</v>
      </c>
      <c r="H27" s="217"/>
      <c r="I27" s="216">
        <v>4</v>
      </c>
      <c r="J27" s="217"/>
      <c r="K27" s="216">
        <v>5</v>
      </c>
      <c r="L27" s="217"/>
      <c r="M27" s="216">
        <v>6</v>
      </c>
      <c r="N27" s="217"/>
      <c r="O27" s="27">
        <v>7</v>
      </c>
      <c r="P27" s="27">
        <v>8</v>
      </c>
    </row>
    <row r="28" spans="1:19" x14ac:dyDescent="0.25">
      <c r="A28" s="39">
        <v>11</v>
      </c>
      <c r="B28" s="40" t="s">
        <v>155</v>
      </c>
      <c r="C28" s="40"/>
      <c r="D28" s="40"/>
      <c r="E28" s="118">
        <v>66162.66</v>
      </c>
      <c r="F28" s="119"/>
      <c r="G28" s="118">
        <f>E28/7.5345</f>
        <v>8781.2940473820418</v>
      </c>
      <c r="H28" s="119"/>
      <c r="I28" s="118"/>
      <c r="J28" s="119"/>
      <c r="K28" s="317">
        <v>11361.51</v>
      </c>
      <c r="L28" s="318"/>
      <c r="M28" s="118">
        <v>9591.8799999999992</v>
      </c>
      <c r="N28" s="119"/>
      <c r="O28" s="68">
        <f>M28/G28*100</f>
        <v>109.23082575579639</v>
      </c>
      <c r="P28" s="68">
        <f>M28/K28*100</f>
        <v>84.42434148277826</v>
      </c>
    </row>
    <row r="29" spans="1:19" x14ac:dyDescent="0.25">
      <c r="A29" s="12">
        <v>12</v>
      </c>
      <c r="B29" s="4" t="s">
        <v>156</v>
      </c>
      <c r="C29" s="4"/>
      <c r="D29" s="4"/>
      <c r="E29" s="90">
        <v>60638.23</v>
      </c>
      <c r="F29" s="91"/>
      <c r="G29" s="90">
        <f>E29/7.5345</f>
        <v>8048.0761828920304</v>
      </c>
      <c r="H29" s="91"/>
      <c r="I29" s="90"/>
      <c r="J29" s="91"/>
      <c r="K29" s="306"/>
      <c r="L29" s="307"/>
      <c r="M29" s="90"/>
      <c r="N29" s="91"/>
      <c r="O29" s="57">
        <f>M29/G29*100</f>
        <v>0</v>
      </c>
      <c r="P29" s="57" t="e">
        <f>M29/K29*100</f>
        <v>#DIV/0!</v>
      </c>
    </row>
    <row r="30" spans="1:19" x14ac:dyDescent="0.25">
      <c r="A30" s="12">
        <v>19</v>
      </c>
      <c r="B30" s="4" t="s">
        <v>157</v>
      </c>
      <c r="C30" s="4"/>
      <c r="D30" s="4"/>
      <c r="E30" s="90">
        <v>5395.41</v>
      </c>
      <c r="F30" s="91"/>
      <c r="G30" s="90">
        <f t="shared" ref="G30:G38" si="6">E30/7.5345</f>
        <v>716.0939677483575</v>
      </c>
      <c r="H30" s="91"/>
      <c r="I30" s="90"/>
      <c r="J30" s="91"/>
      <c r="K30" s="306">
        <v>5620.12</v>
      </c>
      <c r="L30" s="307"/>
      <c r="M30" s="90">
        <v>5620.12</v>
      </c>
      <c r="N30" s="91"/>
      <c r="O30" s="57">
        <f t="shared" ref="O30:O38" si="7">M30/G30*100</f>
        <v>784.8299599103683</v>
      </c>
      <c r="P30" s="57">
        <f t="shared" ref="P30:P38" si="8">M30/K30*100</f>
        <v>100</v>
      </c>
    </row>
    <row r="31" spans="1:19" x14ac:dyDescent="0.25">
      <c r="A31" s="12">
        <v>31</v>
      </c>
      <c r="B31" s="4" t="s">
        <v>158</v>
      </c>
      <c r="C31" s="4"/>
      <c r="D31" s="4"/>
      <c r="E31" s="90">
        <v>2712.21</v>
      </c>
      <c r="F31" s="91"/>
      <c r="G31" s="90">
        <f t="shared" si="6"/>
        <v>359.97212821023294</v>
      </c>
      <c r="H31" s="91"/>
      <c r="I31" s="90">
        <f>796.34+796.34</f>
        <v>1592.68</v>
      </c>
      <c r="J31" s="91"/>
      <c r="K31" s="306">
        <v>3000</v>
      </c>
      <c r="L31" s="307"/>
      <c r="M31" s="90"/>
      <c r="N31" s="91"/>
      <c r="O31" s="57">
        <f t="shared" si="7"/>
        <v>0</v>
      </c>
      <c r="P31" s="57">
        <f t="shared" si="8"/>
        <v>0</v>
      </c>
    </row>
    <row r="32" spans="1:19" x14ac:dyDescent="0.25">
      <c r="A32" s="12">
        <v>41</v>
      </c>
      <c r="B32" s="4" t="s">
        <v>153</v>
      </c>
      <c r="C32" s="4"/>
      <c r="D32" s="4"/>
      <c r="E32" s="90"/>
      <c r="F32" s="91"/>
      <c r="G32" s="90">
        <f t="shared" si="6"/>
        <v>0</v>
      </c>
      <c r="H32" s="91"/>
      <c r="I32" s="90">
        <f>1061.79</f>
        <v>1061.79</v>
      </c>
      <c r="J32" s="91"/>
      <c r="K32" s="306">
        <v>600</v>
      </c>
      <c r="L32" s="307"/>
      <c r="M32" s="90"/>
      <c r="N32" s="91"/>
      <c r="O32" s="57" t="e">
        <f t="shared" si="7"/>
        <v>#DIV/0!</v>
      </c>
      <c r="P32" s="57">
        <f t="shared" si="8"/>
        <v>0</v>
      </c>
      <c r="R32" s="37"/>
    </row>
    <row r="33" spans="1:16" x14ac:dyDescent="0.25">
      <c r="A33" s="12">
        <v>42</v>
      </c>
      <c r="B33" s="4" t="s">
        <v>159</v>
      </c>
      <c r="C33" s="4"/>
      <c r="D33" s="4"/>
      <c r="E33" s="90">
        <v>63336.78</v>
      </c>
      <c r="F33" s="91"/>
      <c r="G33" s="90">
        <f t="shared" si="6"/>
        <v>8406.2353175393182</v>
      </c>
      <c r="H33" s="91"/>
      <c r="I33" s="90">
        <f>1858.12+929.06+929.06+1061.79+2654.46+9130.02+5308.92</f>
        <v>21871.43</v>
      </c>
      <c r="J33" s="91"/>
      <c r="K33" s="306">
        <v>30664.7</v>
      </c>
      <c r="L33" s="307"/>
      <c r="M33" s="306">
        <v>23679.75</v>
      </c>
      <c r="N33" s="307"/>
      <c r="O33" s="57">
        <f t="shared" si="7"/>
        <v>281.69268531649385</v>
      </c>
      <c r="P33" s="57">
        <f t="shared" si="8"/>
        <v>77.221528337143369</v>
      </c>
    </row>
    <row r="34" spans="1:16" x14ac:dyDescent="0.25">
      <c r="A34" s="12">
        <v>45</v>
      </c>
      <c r="B34" s="4" t="s">
        <v>160</v>
      </c>
      <c r="C34" s="4"/>
      <c r="D34" s="4"/>
      <c r="E34" s="90">
        <v>637593.41</v>
      </c>
      <c r="F34" s="91"/>
      <c r="G34" s="90">
        <f t="shared" si="6"/>
        <v>84623.188001858114</v>
      </c>
      <c r="H34" s="91"/>
      <c r="I34" s="90">
        <v>140983.98000000001</v>
      </c>
      <c r="J34" s="91"/>
      <c r="K34" s="306">
        <v>190788.68</v>
      </c>
      <c r="L34" s="307"/>
      <c r="M34" s="90">
        <v>93150.73</v>
      </c>
      <c r="N34" s="91"/>
      <c r="O34" s="57">
        <f t="shared" si="7"/>
        <v>110.07707485323601</v>
      </c>
      <c r="P34" s="57">
        <f t="shared" si="8"/>
        <v>48.824034004533182</v>
      </c>
    </row>
    <row r="35" spans="1:16" x14ac:dyDescent="0.25">
      <c r="A35" s="12">
        <v>51</v>
      </c>
      <c r="B35" s="4" t="s">
        <v>161</v>
      </c>
      <c r="C35" s="4"/>
      <c r="D35" s="4"/>
      <c r="E35" s="90">
        <v>5126935.43</v>
      </c>
      <c r="F35" s="91"/>
      <c r="G35" s="90">
        <f t="shared" si="6"/>
        <v>680461.26883004839</v>
      </c>
      <c r="H35" s="91"/>
      <c r="I35" s="90">
        <f>1369832.12+15926.74+132.73+929.06</f>
        <v>1386820.6500000001</v>
      </c>
      <c r="J35" s="91"/>
      <c r="K35" s="306">
        <v>1540691.62</v>
      </c>
      <c r="L35" s="307"/>
      <c r="M35" s="90">
        <f>748072.82+11147.39+18088.92+2864.01+1427.2</f>
        <v>781600.34</v>
      </c>
      <c r="N35" s="91"/>
      <c r="O35" s="57">
        <f t="shared" si="7"/>
        <v>114.86331049287276</v>
      </c>
      <c r="P35" s="57">
        <f t="shared" si="8"/>
        <v>50.730485572446995</v>
      </c>
    </row>
    <row r="36" spans="1:16" x14ac:dyDescent="0.25">
      <c r="A36" s="12">
        <v>53</v>
      </c>
      <c r="B36" s="4" t="s">
        <v>162</v>
      </c>
      <c r="C36" s="4"/>
      <c r="D36" s="4"/>
      <c r="E36" s="90"/>
      <c r="F36" s="91"/>
      <c r="G36" s="90">
        <f t="shared" si="6"/>
        <v>0</v>
      </c>
      <c r="H36" s="91"/>
      <c r="I36" s="90"/>
      <c r="J36" s="91"/>
      <c r="K36" s="306"/>
      <c r="L36" s="307"/>
      <c r="M36" s="90"/>
      <c r="N36" s="91"/>
      <c r="O36" s="57" t="e">
        <f t="shared" si="7"/>
        <v>#DIV/0!</v>
      </c>
      <c r="P36" s="57" t="e">
        <f t="shared" si="8"/>
        <v>#DIV/0!</v>
      </c>
    </row>
    <row r="37" spans="1:16" x14ac:dyDescent="0.25">
      <c r="A37" s="12">
        <v>54</v>
      </c>
      <c r="B37" s="4" t="s">
        <v>163</v>
      </c>
      <c r="C37" s="4"/>
      <c r="D37" s="4"/>
      <c r="E37" s="90">
        <v>2905.22</v>
      </c>
      <c r="F37" s="91"/>
      <c r="G37" s="90">
        <f t="shared" si="6"/>
        <v>385.58895746233986</v>
      </c>
      <c r="H37" s="91"/>
      <c r="I37" s="90"/>
      <c r="J37" s="91"/>
      <c r="K37" s="306">
        <v>2442.2600000000002</v>
      </c>
      <c r="L37" s="307"/>
      <c r="M37" s="90">
        <v>2442.2600000000002</v>
      </c>
      <c r="N37" s="91"/>
      <c r="O37" s="57">
        <f t="shared" si="7"/>
        <v>633.38432098085525</v>
      </c>
      <c r="P37" s="57">
        <f t="shared" si="8"/>
        <v>100</v>
      </c>
    </row>
    <row r="38" spans="1:16" ht="15.75" thickBot="1" x14ac:dyDescent="0.3">
      <c r="A38" s="41">
        <v>61</v>
      </c>
      <c r="B38" s="42" t="s">
        <v>164</v>
      </c>
      <c r="C38" s="42"/>
      <c r="D38" s="42"/>
      <c r="E38" s="261"/>
      <c r="F38" s="262"/>
      <c r="G38" s="90">
        <f t="shared" si="6"/>
        <v>0</v>
      </c>
      <c r="H38" s="91"/>
      <c r="I38" s="261"/>
      <c r="J38" s="262"/>
      <c r="K38" s="319">
        <v>4000</v>
      </c>
      <c r="L38" s="320"/>
      <c r="M38" s="261"/>
      <c r="N38" s="262"/>
      <c r="O38" s="58" t="e">
        <f t="shared" si="7"/>
        <v>#DIV/0!</v>
      </c>
      <c r="P38" s="58">
        <f t="shared" si="8"/>
        <v>0</v>
      </c>
    </row>
    <row r="39" spans="1:16" ht="15.75" thickBot="1" x14ac:dyDescent="0.3">
      <c r="A39" s="321" t="s">
        <v>154</v>
      </c>
      <c r="B39" s="321"/>
      <c r="C39" s="321"/>
      <c r="D39" s="321"/>
      <c r="E39" s="322">
        <f>SUM(E28:F38)</f>
        <v>5965679.3499999996</v>
      </c>
      <c r="F39" s="323"/>
      <c r="G39" s="322">
        <f>SUM(G28:H38)</f>
        <v>791781.71743314085</v>
      </c>
      <c r="H39" s="323"/>
      <c r="I39" s="322">
        <f>SUM(I28:J38)</f>
        <v>1552330.5300000003</v>
      </c>
      <c r="J39" s="323"/>
      <c r="K39" s="322">
        <f>SUM(K28:L38)</f>
        <v>1789168.8900000001</v>
      </c>
      <c r="L39" s="323"/>
      <c r="M39" s="322">
        <f>SUM(M28:N38)</f>
        <v>916085.08</v>
      </c>
      <c r="N39" s="323"/>
      <c r="O39" s="69">
        <f t="shared" ref="O39" si="9">M39/G39*100</f>
        <v>115.69919585537227</v>
      </c>
      <c r="P39" s="69">
        <f t="shared" ref="P39" si="10">M39/K39*100</f>
        <v>51.201710756327756</v>
      </c>
    </row>
    <row r="44" spans="1:16" x14ac:dyDescent="0.25">
      <c r="F44" s="37"/>
    </row>
  </sheetData>
  <customSheetViews>
    <customSheetView guid="{005C429F-8448-44DF-83AD-8A930973E873}" topLeftCell="A4">
      <selection activeCell="O19" sqref="O19"/>
      <pageMargins left="0.7" right="0.7" top="0.75" bottom="0.75" header="0.3" footer="0.3"/>
      <pageSetup paperSize="9" scale="82" orientation="portrait" r:id="rId1"/>
    </customSheetView>
  </customSheetViews>
  <mergeCells count="149">
    <mergeCell ref="E39:F3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I36:J36"/>
    <mergeCell ref="I37:J37"/>
    <mergeCell ref="I38:J38"/>
    <mergeCell ref="I39:J39"/>
    <mergeCell ref="I20:J20"/>
    <mergeCell ref="I21:J21"/>
    <mergeCell ref="I22:J22"/>
    <mergeCell ref="I25:J26"/>
    <mergeCell ref="I27:J27"/>
    <mergeCell ref="G38:H38"/>
    <mergeCell ref="K38:L38"/>
    <mergeCell ref="M38:N38"/>
    <mergeCell ref="A39:D39"/>
    <mergeCell ref="G22:H22"/>
    <mergeCell ref="K22:L22"/>
    <mergeCell ref="M22:N22"/>
    <mergeCell ref="G39:H39"/>
    <mergeCell ref="K39:L39"/>
    <mergeCell ref="M39:N39"/>
    <mergeCell ref="G36:H36"/>
    <mergeCell ref="K36:L36"/>
    <mergeCell ref="M36:N36"/>
    <mergeCell ref="G37:H37"/>
    <mergeCell ref="K37:L37"/>
    <mergeCell ref="M37:N37"/>
    <mergeCell ref="G34:H34"/>
    <mergeCell ref="K34:L34"/>
    <mergeCell ref="M34:N34"/>
    <mergeCell ref="G35:H35"/>
    <mergeCell ref="K35:L35"/>
    <mergeCell ref="M35:N35"/>
    <mergeCell ref="I34:J34"/>
    <mergeCell ref="I35:J35"/>
    <mergeCell ref="G32:H32"/>
    <mergeCell ref="K32:L32"/>
    <mergeCell ref="M32:N32"/>
    <mergeCell ref="G33:H33"/>
    <mergeCell ref="K33:L33"/>
    <mergeCell ref="M33:N33"/>
    <mergeCell ref="I32:J32"/>
    <mergeCell ref="I33:J33"/>
    <mergeCell ref="G30:H30"/>
    <mergeCell ref="K30:L30"/>
    <mergeCell ref="M30:N30"/>
    <mergeCell ref="G31:H31"/>
    <mergeCell ref="K31:L31"/>
    <mergeCell ref="M31:N31"/>
    <mergeCell ref="I30:J30"/>
    <mergeCell ref="I31:J31"/>
    <mergeCell ref="A25:D25"/>
    <mergeCell ref="G25:H26"/>
    <mergeCell ref="K25:L26"/>
    <mergeCell ref="M25:N26"/>
    <mergeCell ref="B26:D26"/>
    <mergeCell ref="G28:H28"/>
    <mergeCell ref="K28:L28"/>
    <mergeCell ref="M28:N28"/>
    <mergeCell ref="G29:H29"/>
    <mergeCell ref="K29:L29"/>
    <mergeCell ref="M29:N29"/>
    <mergeCell ref="I28:J28"/>
    <mergeCell ref="I29:J29"/>
    <mergeCell ref="A27:D27"/>
    <mergeCell ref="G27:H27"/>
    <mergeCell ref="K27:L27"/>
    <mergeCell ref="M27:N27"/>
    <mergeCell ref="E25:F26"/>
    <mergeCell ref="E27:F27"/>
    <mergeCell ref="E28:F28"/>
    <mergeCell ref="E29:F29"/>
    <mergeCell ref="K21:L21"/>
    <mergeCell ref="M21:N21"/>
    <mergeCell ref="A22:D22"/>
    <mergeCell ref="K19:L19"/>
    <mergeCell ref="G17:H17"/>
    <mergeCell ref="G18:H18"/>
    <mergeCell ref="G19:H19"/>
    <mergeCell ref="G20:H20"/>
    <mergeCell ref="G21:H21"/>
    <mergeCell ref="I17:J17"/>
    <mergeCell ref="I18:J18"/>
    <mergeCell ref="I19:J19"/>
    <mergeCell ref="K18:L18"/>
    <mergeCell ref="M18:N18"/>
    <mergeCell ref="K17:L17"/>
    <mergeCell ref="E22:F22"/>
    <mergeCell ref="M14:N14"/>
    <mergeCell ref="K11:L11"/>
    <mergeCell ref="K15:L15"/>
    <mergeCell ref="M15:N15"/>
    <mergeCell ref="M19:N19"/>
    <mergeCell ref="K20:L20"/>
    <mergeCell ref="M20:N20"/>
    <mergeCell ref="M17:N17"/>
    <mergeCell ref="G16:H16"/>
    <mergeCell ref="I15:J15"/>
    <mergeCell ref="I16:J16"/>
    <mergeCell ref="I11:J11"/>
    <mergeCell ref="I12:J12"/>
    <mergeCell ref="I13:J13"/>
    <mergeCell ref="I14:J14"/>
    <mergeCell ref="G13:H13"/>
    <mergeCell ref="G14:H14"/>
    <mergeCell ref="G15:H15"/>
    <mergeCell ref="K16:L16"/>
    <mergeCell ref="M16:N16"/>
    <mergeCell ref="K13:L13"/>
    <mergeCell ref="M13:N13"/>
    <mergeCell ref="K14:L14"/>
    <mergeCell ref="A5:P5"/>
    <mergeCell ref="A10:D10"/>
    <mergeCell ref="G10:H10"/>
    <mergeCell ref="K10:L10"/>
    <mergeCell ref="M10:N10"/>
    <mergeCell ref="A8:D8"/>
    <mergeCell ref="B9:D9"/>
    <mergeCell ref="G11:H11"/>
    <mergeCell ref="G12:H12"/>
    <mergeCell ref="I8:J9"/>
    <mergeCell ref="G8:H9"/>
    <mergeCell ref="K8:L9"/>
    <mergeCell ref="M8:N9"/>
    <mergeCell ref="I10:J10"/>
    <mergeCell ref="M11:N11"/>
    <mergeCell ref="K12:L12"/>
    <mergeCell ref="M12:N12"/>
    <mergeCell ref="E8:F9"/>
    <mergeCell ref="E10:F10"/>
    <mergeCell ref="E11:F11"/>
    <mergeCell ref="E12:F12"/>
  </mergeCells>
  <pageMargins left="0.7" right="0.7" top="0.75" bottom="0.75" header="0.3" footer="0.3"/>
  <pageSetup paperSize="9" scale="58" orientation="portrait" r:id="rId2"/>
  <ignoredErrors>
    <ignoredError sqref="O14:O21 O29:O38 O12 P22 P12 P29:P38 P14:P21 P11 P23:P28 P39 P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Opći dio</vt:lpstr>
      <vt:lpstr>Ph i rh po ekonomskoj klas. </vt:lpstr>
      <vt:lpstr>Rh i izdaci po izv fin,ek i pr </vt:lpstr>
      <vt:lpstr>Ph i rh po izvorima fin.</vt:lpstr>
      <vt:lpstr>'Ph i rh po ekonomskoj klas. '!Podrucje_ispisa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Racunovodja</dc:creator>
  <cp:lastModifiedBy>Racunovodja</cp:lastModifiedBy>
  <cp:lastPrinted>2023-07-17T08:42:03Z</cp:lastPrinted>
  <dcterms:created xsi:type="dcterms:W3CDTF">2023-02-09T09:40:18Z</dcterms:created>
  <dcterms:modified xsi:type="dcterms:W3CDTF">2024-06-20T09:08:51Z</dcterms:modified>
</cp:coreProperties>
</file>