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ja\Desktop\Poslovanje\Fin. izvještaji, izvršenje, rebalans, trogodišnji planovi, plan nabave\Trogodišnji financijski planovi\2024-2026\"/>
    </mc:Choice>
  </mc:AlternateContent>
  <bookViews>
    <workbookView xWindow="0" yWindow="0" windowWidth="28800" windowHeight="12210" tabRatio="688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11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E13" i="3"/>
  <c r="E16" i="3"/>
  <c r="F16" i="3"/>
  <c r="G16" i="3"/>
  <c r="H16" i="3"/>
  <c r="F28" i="10" l="1"/>
  <c r="F27" i="10"/>
  <c r="F22" i="10"/>
  <c r="H9" i="10"/>
  <c r="F14" i="10"/>
  <c r="G9" i="10"/>
  <c r="G13" i="10"/>
  <c r="G12" i="10"/>
  <c r="E34" i="3"/>
  <c r="E28" i="3"/>
  <c r="C44" i="8"/>
  <c r="C22" i="8"/>
  <c r="J9" i="10" l="1"/>
  <c r="I9" i="10"/>
  <c r="J13" i="10"/>
  <c r="J12" i="10"/>
  <c r="I13" i="10"/>
  <c r="I12" i="10"/>
  <c r="H13" i="10"/>
  <c r="H12" i="10"/>
  <c r="I45" i="11"/>
  <c r="I44" i="11" s="1"/>
  <c r="I43" i="11" s="1"/>
  <c r="I34" i="11" s="1"/>
  <c r="H45" i="11"/>
  <c r="H44" i="11" s="1"/>
  <c r="H43" i="11" s="1"/>
  <c r="H34" i="11" s="1"/>
  <c r="G45" i="11"/>
  <c r="G44" i="11"/>
  <c r="G43" i="11" s="1"/>
  <c r="G34" i="11" s="1"/>
  <c r="F43" i="11"/>
  <c r="F34" i="11"/>
  <c r="I47" i="11"/>
  <c r="H47" i="11"/>
  <c r="H36" i="11"/>
  <c r="I36" i="11"/>
  <c r="G36" i="11"/>
  <c r="G35" i="11" s="1"/>
  <c r="G37" i="11"/>
  <c r="H58" i="11"/>
  <c r="G58" i="11"/>
  <c r="I27" i="11"/>
  <c r="H27" i="11"/>
  <c r="G27" i="11"/>
  <c r="E47" i="8"/>
  <c r="E44" i="8"/>
  <c r="E43" i="8"/>
  <c r="E32" i="8" s="1"/>
  <c r="E39" i="8"/>
  <c r="E37" i="8"/>
  <c r="E33" i="8"/>
  <c r="F47" i="8"/>
  <c r="F44" i="8"/>
  <c r="F43" i="8" s="1"/>
  <c r="F39" i="8"/>
  <c r="F37" i="8"/>
  <c r="F33" i="8"/>
  <c r="F22" i="8"/>
  <c r="E22" i="8"/>
  <c r="D47" i="8"/>
  <c r="D44" i="8"/>
  <c r="D43" i="8" s="1"/>
  <c r="D39" i="8"/>
  <c r="D37" i="8"/>
  <c r="D33" i="8"/>
  <c r="D22" i="8"/>
  <c r="H34" i="3"/>
  <c r="H32" i="3" s="1"/>
  <c r="H28" i="3"/>
  <c r="H29" i="3"/>
  <c r="G34" i="3"/>
  <c r="G29" i="3"/>
  <c r="G28" i="3"/>
  <c r="F32" i="3"/>
  <c r="G32" i="3"/>
  <c r="F29" i="3"/>
  <c r="F28" i="3"/>
  <c r="H12" i="3"/>
  <c r="G12" i="3"/>
  <c r="F12" i="3"/>
  <c r="F32" i="8" l="1"/>
  <c r="D32" i="8"/>
  <c r="E58" i="11"/>
  <c r="G81" i="11"/>
  <c r="G80" i="11" s="1"/>
  <c r="G79" i="11" s="1"/>
  <c r="G78" i="11" s="1"/>
  <c r="H81" i="11"/>
  <c r="H80" i="11" s="1"/>
  <c r="H79" i="11" s="1"/>
  <c r="H78" i="11" s="1"/>
  <c r="I81" i="11"/>
  <c r="I80" i="11" s="1"/>
  <c r="I79" i="11" s="1"/>
  <c r="I78" i="11" s="1"/>
  <c r="F81" i="11"/>
  <c r="F80" i="11" s="1"/>
  <c r="F79" i="11" s="1"/>
  <c r="F78" i="11" s="1"/>
  <c r="E81" i="11"/>
  <c r="E80" i="11"/>
  <c r="E79" i="11"/>
  <c r="E78" i="11" s="1"/>
  <c r="E110" i="11"/>
  <c r="G108" i="11"/>
  <c r="G107" i="11" s="1"/>
  <c r="H108" i="11"/>
  <c r="H107" i="11" s="1"/>
  <c r="I108" i="11"/>
  <c r="I107" i="11" s="1"/>
  <c r="F109" i="11"/>
  <c r="F108" i="11" s="1"/>
  <c r="F107" i="11" s="1"/>
  <c r="G109" i="11"/>
  <c r="H109" i="11"/>
  <c r="I109" i="11"/>
  <c r="E109" i="11"/>
  <c r="E108" i="11" s="1"/>
  <c r="E107" i="11" s="1"/>
  <c r="E105" i="11"/>
  <c r="E104" i="11" s="1"/>
  <c r="E103" i="11" s="1"/>
  <c r="E101" i="11"/>
  <c r="E100" i="11" s="1"/>
  <c r="E99" i="11" s="1"/>
  <c r="I92" i="11"/>
  <c r="I91" i="11" s="1"/>
  <c r="G92" i="11"/>
  <c r="G91" i="11" s="1"/>
  <c r="H92" i="11"/>
  <c r="H91" i="11" s="1"/>
  <c r="G96" i="11"/>
  <c r="G95" i="11" s="1"/>
  <c r="H96" i="11"/>
  <c r="H95" i="11" s="1"/>
  <c r="I96" i="11"/>
  <c r="I95" i="11" s="1"/>
  <c r="G100" i="11"/>
  <c r="G99" i="11" s="1"/>
  <c r="H100" i="11"/>
  <c r="H99" i="11" s="1"/>
  <c r="I100" i="11"/>
  <c r="I99" i="11" s="1"/>
  <c r="I104" i="11"/>
  <c r="I103" i="11" s="1"/>
  <c r="G104" i="11"/>
  <c r="G103" i="11" s="1"/>
  <c r="H104" i="11"/>
  <c r="H103" i="11" s="1"/>
  <c r="E96" i="11"/>
  <c r="E95" i="11" s="1"/>
  <c r="E92" i="11"/>
  <c r="E91" i="11"/>
  <c r="E94" i="11"/>
  <c r="E97" i="11"/>
  <c r="G87" i="11"/>
  <c r="G86" i="11" s="1"/>
  <c r="H87" i="11"/>
  <c r="H86" i="11" s="1"/>
  <c r="I87" i="11"/>
  <c r="I86" i="11" s="1"/>
  <c r="F87" i="11"/>
  <c r="E87" i="11"/>
  <c r="E86" i="11"/>
  <c r="E85" i="11"/>
  <c r="E84" i="11" s="1"/>
  <c r="E88" i="11"/>
  <c r="E83" i="11"/>
  <c r="E69" i="11"/>
  <c r="E68" i="11" s="1"/>
  <c r="E67" i="11" s="1"/>
  <c r="E66" i="11" s="1"/>
  <c r="E65" i="11"/>
  <c r="E64" i="11" s="1"/>
  <c r="E63" i="11" s="1"/>
  <c r="E62" i="11" s="1"/>
  <c r="E57" i="11"/>
  <c r="E56" i="11" s="1"/>
  <c r="E34" i="11" s="1"/>
  <c r="E51" i="11"/>
  <c r="E48" i="11"/>
  <c r="E43" i="11"/>
  <c r="E40" i="11"/>
  <c r="E35" i="11"/>
  <c r="F57" i="11"/>
  <c r="G57" i="11"/>
  <c r="G56" i="11" s="1"/>
  <c r="H57" i="11"/>
  <c r="H56" i="11" s="1"/>
  <c r="I57" i="11"/>
  <c r="I56" i="11" s="1"/>
  <c r="E59" i="11"/>
  <c r="E47" i="11"/>
  <c r="E46" i="11" s="1"/>
  <c r="E55" i="11"/>
  <c r="E54" i="11" s="1"/>
  <c r="F54" i="11"/>
  <c r="G54" i="11"/>
  <c r="H54" i="11"/>
  <c r="I54" i="11"/>
  <c r="E39" i="11"/>
  <c r="E61" i="11"/>
  <c r="E38" i="11"/>
  <c r="E45" i="11"/>
  <c r="E44" i="11"/>
  <c r="E53" i="11"/>
  <c r="E52" i="11" s="1"/>
  <c r="E37" i="11"/>
  <c r="E50" i="11"/>
  <c r="E42" i="11"/>
  <c r="E41" i="11" s="1"/>
  <c r="E33" i="11"/>
  <c r="E32" i="11" s="1"/>
  <c r="E31" i="11" s="1"/>
  <c r="E30" i="11" s="1"/>
  <c r="I112" i="11"/>
  <c r="I111" i="11" s="1"/>
  <c r="H112" i="11"/>
  <c r="H111" i="11" s="1"/>
  <c r="G112" i="11"/>
  <c r="G111" i="11" s="1"/>
  <c r="F112" i="11"/>
  <c r="F111" i="11" s="1"/>
  <c r="E112" i="11"/>
  <c r="E111" i="11"/>
  <c r="F104" i="11"/>
  <c r="F103" i="11" s="1"/>
  <c r="F100" i="11"/>
  <c r="F99" i="11" s="1"/>
  <c r="F96" i="11"/>
  <c r="F95" i="11" s="1"/>
  <c r="F92" i="11"/>
  <c r="F91" i="11" s="1"/>
  <c r="F86" i="11"/>
  <c r="F85" i="11" s="1"/>
  <c r="F84" i="11" s="1"/>
  <c r="I76" i="11"/>
  <c r="I75" i="11" s="1"/>
  <c r="I74" i="11" s="1"/>
  <c r="H76" i="11"/>
  <c r="H75" i="11" s="1"/>
  <c r="H74" i="11" s="1"/>
  <c r="G76" i="11"/>
  <c r="G75" i="11" s="1"/>
  <c r="G74" i="11" s="1"/>
  <c r="F76" i="11"/>
  <c r="E76" i="11"/>
  <c r="F75" i="11"/>
  <c r="F74" i="11" s="1"/>
  <c r="E75" i="11"/>
  <c r="E74" i="11" s="1"/>
  <c r="I72" i="11"/>
  <c r="H72" i="11"/>
  <c r="G72" i="11"/>
  <c r="G71" i="11" s="1"/>
  <c r="G70" i="11" s="1"/>
  <c r="F72" i="11"/>
  <c r="F71" i="11" s="1"/>
  <c r="F70" i="11" s="1"/>
  <c r="E72" i="11"/>
  <c r="E71" i="11" s="1"/>
  <c r="E70" i="11" s="1"/>
  <c r="I71" i="11"/>
  <c r="I70" i="11" s="1"/>
  <c r="H71" i="11"/>
  <c r="H70" i="11" s="1"/>
  <c r="I68" i="11"/>
  <c r="I67" i="11" s="1"/>
  <c r="I66" i="11" s="1"/>
  <c r="H68" i="11"/>
  <c r="H67" i="11" s="1"/>
  <c r="H66" i="11" s="1"/>
  <c r="G68" i="11"/>
  <c r="G67" i="11" s="1"/>
  <c r="G66" i="11" s="1"/>
  <c r="F68" i="11"/>
  <c r="F67" i="11" s="1"/>
  <c r="F66" i="11" s="1"/>
  <c r="I64" i="11"/>
  <c r="H64" i="11"/>
  <c r="H63" i="11" s="1"/>
  <c r="H62" i="11" s="1"/>
  <c r="G64" i="11"/>
  <c r="G63" i="11" s="1"/>
  <c r="G62" i="11" s="1"/>
  <c r="F64" i="11"/>
  <c r="F63" i="11" s="1"/>
  <c r="F62" i="11" s="1"/>
  <c r="I63" i="11"/>
  <c r="I62" i="11" s="1"/>
  <c r="F61" i="11"/>
  <c r="F60" i="11" s="1"/>
  <c r="I60" i="11"/>
  <c r="H60" i="11"/>
  <c r="G60" i="11"/>
  <c r="E60" i="11"/>
  <c r="F58" i="11"/>
  <c r="I52" i="11"/>
  <c r="H52" i="11"/>
  <c r="G52" i="11"/>
  <c r="F52" i="11"/>
  <c r="I49" i="11"/>
  <c r="I48" i="11" s="1"/>
  <c r="H49" i="11"/>
  <c r="H48" i="11" s="1"/>
  <c r="G49" i="11"/>
  <c r="G48" i="11" s="1"/>
  <c r="F49" i="11"/>
  <c r="F48" i="11" s="1"/>
  <c r="E49" i="11"/>
  <c r="I46" i="11"/>
  <c r="H46" i="11"/>
  <c r="G46" i="11"/>
  <c r="F46" i="11"/>
  <c r="F45" i="11"/>
  <c r="F44" i="11" s="1"/>
  <c r="F42" i="11"/>
  <c r="F41" i="11" s="1"/>
  <c r="F40" i="11" s="1"/>
  <c r="I41" i="11"/>
  <c r="I40" i="11" s="1"/>
  <c r="H41" i="11"/>
  <c r="H40" i="11" s="1"/>
  <c r="G41" i="11"/>
  <c r="G40" i="11" s="1"/>
  <c r="I38" i="11"/>
  <c r="H38" i="11"/>
  <c r="G38" i="11"/>
  <c r="F38" i="11"/>
  <c r="F37" i="11"/>
  <c r="I35" i="11"/>
  <c r="H35" i="11"/>
  <c r="F36" i="11"/>
  <c r="E36" i="11"/>
  <c r="I32" i="11"/>
  <c r="I31" i="11" s="1"/>
  <c r="I30" i="11" s="1"/>
  <c r="I29" i="11" s="1"/>
  <c r="H32" i="11"/>
  <c r="H31" i="11" s="1"/>
  <c r="H30" i="11" s="1"/>
  <c r="G32" i="11"/>
  <c r="G31" i="11" s="1"/>
  <c r="G30" i="11" s="1"/>
  <c r="F32" i="11"/>
  <c r="F31" i="11" s="1"/>
  <c r="F30" i="11" s="1"/>
  <c r="E28" i="11"/>
  <c r="F27" i="11"/>
  <c r="F26" i="11" s="1"/>
  <c r="F25" i="11" s="1"/>
  <c r="F24" i="11" s="1"/>
  <c r="E27" i="11"/>
  <c r="E26" i="11" s="1"/>
  <c r="E25" i="11" s="1"/>
  <c r="E24" i="11" s="1"/>
  <c r="I26" i="11"/>
  <c r="I25" i="11" s="1"/>
  <c r="I24" i="11" s="1"/>
  <c r="H26" i="11"/>
  <c r="H25" i="11" s="1"/>
  <c r="H24" i="11" s="1"/>
  <c r="G26" i="11"/>
  <c r="G25" i="11" s="1"/>
  <c r="G24" i="11" s="1"/>
  <c r="E23" i="11"/>
  <c r="I22" i="11"/>
  <c r="I21" i="11" s="1"/>
  <c r="I20" i="11" s="1"/>
  <c r="H22" i="11"/>
  <c r="H21" i="11" s="1"/>
  <c r="H20" i="11" s="1"/>
  <c r="G22" i="11"/>
  <c r="G21" i="11" s="1"/>
  <c r="G20" i="11" s="1"/>
  <c r="F22" i="11"/>
  <c r="F21" i="11" s="1"/>
  <c r="F20" i="11" s="1"/>
  <c r="E22" i="11"/>
  <c r="E21" i="11"/>
  <c r="E20" i="11" s="1"/>
  <c r="I18" i="11"/>
  <c r="I17" i="11" s="1"/>
  <c r="H18" i="11"/>
  <c r="H17" i="11" s="1"/>
  <c r="G18" i="11"/>
  <c r="G17" i="11" s="1"/>
  <c r="E18" i="11"/>
  <c r="E17" i="11" s="1"/>
  <c r="E16" i="11"/>
  <c r="I15" i="11"/>
  <c r="I14" i="11" s="1"/>
  <c r="H15" i="11"/>
  <c r="H14" i="11" s="1"/>
  <c r="G15" i="11"/>
  <c r="G14" i="11" s="1"/>
  <c r="F15" i="11"/>
  <c r="E15" i="11"/>
  <c r="E14" i="11" s="1"/>
  <c r="E13" i="11" s="1"/>
  <c r="F14" i="11"/>
  <c r="F13" i="11" s="1"/>
  <c r="E12" i="11"/>
  <c r="I11" i="11"/>
  <c r="I10" i="11" s="1"/>
  <c r="I9" i="11" s="1"/>
  <c r="H11" i="11"/>
  <c r="H10" i="11" s="1"/>
  <c r="H9" i="11" s="1"/>
  <c r="G11" i="11"/>
  <c r="G10" i="11" s="1"/>
  <c r="G9" i="11" s="1"/>
  <c r="F11" i="11"/>
  <c r="F10" i="11" s="1"/>
  <c r="F9" i="11" s="1"/>
  <c r="E11" i="11"/>
  <c r="E10" i="11" s="1"/>
  <c r="E9" i="11" s="1"/>
  <c r="F29" i="11" l="1"/>
  <c r="G29" i="11"/>
  <c r="H29" i="11"/>
  <c r="F90" i="11"/>
  <c r="F89" i="11" s="1"/>
  <c r="I90" i="11"/>
  <c r="I89" i="11" s="1"/>
  <c r="H90" i="11"/>
  <c r="H89" i="11" s="1"/>
  <c r="G90" i="11"/>
  <c r="G89" i="11" s="1"/>
  <c r="E90" i="11"/>
  <c r="E89" i="11" s="1"/>
  <c r="I85" i="11"/>
  <c r="I84" i="11" s="1"/>
  <c r="G85" i="11"/>
  <c r="G84" i="11" s="1"/>
  <c r="H85" i="11"/>
  <c r="H84" i="11" s="1"/>
  <c r="E82" i="11"/>
  <c r="I51" i="11"/>
  <c r="H51" i="11"/>
  <c r="G51" i="11"/>
  <c r="F51" i="11"/>
  <c r="G13" i="11"/>
  <c r="G8" i="11" s="1"/>
  <c r="H13" i="11"/>
  <c r="H8" i="11" s="1"/>
  <c r="E29" i="11"/>
  <c r="F35" i="11"/>
  <c r="E8" i="11"/>
  <c r="I13" i="11"/>
  <c r="I8" i="11" s="1"/>
  <c r="F56" i="11"/>
  <c r="F8" i="11"/>
  <c r="F7" i="11" l="1"/>
  <c r="F6" i="11" s="1"/>
  <c r="H7" i="11"/>
  <c r="H6" i="11" s="1"/>
  <c r="E7" i="11"/>
  <c r="E6" i="11" s="1"/>
  <c r="I7" i="11"/>
  <c r="I6" i="11" s="1"/>
  <c r="G7" i="11"/>
  <c r="G6" i="11" s="1"/>
  <c r="B12" i="5"/>
  <c r="B11" i="5" s="1"/>
  <c r="B10" i="5" s="1"/>
  <c r="F11" i="5"/>
  <c r="F10" i="5" s="1"/>
  <c r="E11" i="5"/>
  <c r="E10" i="5" s="1"/>
  <c r="D11" i="5"/>
  <c r="D10" i="5" s="1"/>
  <c r="C11" i="5"/>
  <c r="C10" i="5" s="1"/>
  <c r="B48" i="8"/>
  <c r="C47" i="8"/>
  <c r="B47" i="8"/>
  <c r="B46" i="8"/>
  <c r="B45" i="8"/>
  <c r="B44" i="8"/>
  <c r="C43" i="8"/>
  <c r="B43" i="8"/>
  <c r="B42" i="8"/>
  <c r="B41" i="8"/>
  <c r="B40" i="8"/>
  <c r="B39" i="8" s="1"/>
  <c r="C39" i="8"/>
  <c r="B38" i="8"/>
  <c r="B37" i="8" s="1"/>
  <c r="C37" i="8"/>
  <c r="B36" i="8"/>
  <c r="B33" i="8" s="1"/>
  <c r="B35" i="8"/>
  <c r="B34" i="8"/>
  <c r="C33" i="8"/>
  <c r="F17" i="8"/>
  <c r="E17" i="8"/>
  <c r="D17" i="8"/>
  <c r="C17" i="8"/>
  <c r="B17" i="8"/>
  <c r="B10" i="8" s="1"/>
  <c r="F10" i="8"/>
  <c r="B26" i="8"/>
  <c r="B25" i="8" s="1"/>
  <c r="F25" i="8"/>
  <c r="E25" i="8"/>
  <c r="D25" i="8"/>
  <c r="C25" i="8"/>
  <c r="B24" i="8"/>
  <c r="B23" i="8"/>
  <c r="B22" i="8"/>
  <c r="F21" i="8"/>
  <c r="E21" i="8"/>
  <c r="D21" i="8"/>
  <c r="C21" i="8"/>
  <c r="B20" i="8"/>
  <c r="B19" i="8"/>
  <c r="B18" i="8"/>
  <c r="B16" i="8"/>
  <c r="B15" i="8" s="1"/>
  <c r="F15" i="8"/>
  <c r="E15" i="8"/>
  <c r="D15" i="8"/>
  <c r="C15" i="8"/>
  <c r="B14" i="8"/>
  <c r="B13" i="8"/>
  <c r="B12" i="8"/>
  <c r="F11" i="8"/>
  <c r="E11" i="8"/>
  <c r="D11" i="8"/>
  <c r="C11" i="8"/>
  <c r="F27" i="3"/>
  <c r="G27" i="3"/>
  <c r="G26" i="3" s="1"/>
  <c r="H27" i="3"/>
  <c r="H26" i="3" s="1"/>
  <c r="F26" i="3"/>
  <c r="D26" i="3"/>
  <c r="E27" i="3"/>
  <c r="E32" i="3"/>
  <c r="D32" i="3"/>
  <c r="D34" i="3"/>
  <c r="D29" i="3"/>
  <c r="D28" i="3"/>
  <c r="D31" i="3"/>
  <c r="D30" i="3"/>
  <c r="F11" i="3"/>
  <c r="G11" i="3"/>
  <c r="H11" i="3"/>
  <c r="E14" i="3"/>
  <c r="D16" i="3"/>
  <c r="D15" i="3"/>
  <c r="D14" i="3"/>
  <c r="D13" i="3"/>
  <c r="D12" i="3"/>
  <c r="D20" i="3"/>
  <c r="D19" i="3" s="1"/>
  <c r="H19" i="3"/>
  <c r="G19" i="3"/>
  <c r="F19" i="3"/>
  <c r="E19" i="3"/>
  <c r="F13" i="10"/>
  <c r="F12" i="10"/>
  <c r="F9" i="10"/>
  <c r="E26" i="3" l="1"/>
  <c r="C32" i="8"/>
  <c r="C10" i="8"/>
  <c r="E10" i="8"/>
  <c r="D10" i="8"/>
  <c r="B32" i="8"/>
  <c r="B21" i="8"/>
  <c r="B11" i="8"/>
  <c r="D11" i="3"/>
  <c r="D10" i="3" s="1"/>
  <c r="D27" i="3"/>
  <c r="E11" i="3"/>
  <c r="E10" i="3" s="1"/>
  <c r="F10" i="3"/>
  <c r="G10" i="3"/>
  <c r="H10" i="3"/>
  <c r="F8" i="10" l="1"/>
  <c r="F37" i="10" l="1"/>
  <c r="G37" i="10" s="1"/>
  <c r="J21" i="10"/>
  <c r="I21" i="10"/>
  <c r="H21" i="10"/>
  <c r="G21" i="10"/>
  <c r="F21" i="10"/>
  <c r="J11" i="10"/>
  <c r="I11" i="10"/>
  <c r="H11" i="10"/>
  <c r="G11" i="10"/>
  <c r="F11" i="10"/>
  <c r="J8" i="10"/>
  <c r="I8" i="10"/>
  <c r="H8" i="10"/>
  <c r="G8" i="10"/>
  <c r="H34" i="10" l="1"/>
  <c r="H37" i="10" s="1"/>
  <c r="I34" i="10" s="1"/>
  <c r="I37" i="10" s="1"/>
  <c r="J34" i="10" s="1"/>
  <c r="J37" i="10" s="1"/>
  <c r="J14" i="10"/>
  <c r="J22" i="10" s="1"/>
  <c r="J28" i="10" s="1"/>
  <c r="J29" i="10" s="1"/>
  <c r="I14" i="10"/>
  <c r="I22" i="10" s="1"/>
  <c r="I28" i="10" s="1"/>
  <c r="I29" i="10" s="1"/>
  <c r="H14" i="10"/>
  <c r="H22" i="10" s="1"/>
  <c r="H28" i="10" s="1"/>
  <c r="H29" i="10" s="1"/>
  <c r="G14" i="10"/>
  <c r="G22" i="10" s="1"/>
  <c r="G28" i="10" s="1"/>
  <c r="G29" i="10" s="1"/>
  <c r="F29" i="10"/>
</calcChain>
</file>

<file path=xl/sharedStrings.xml><?xml version="1.0" encoding="utf-8"?>
<sst xmlns="http://schemas.openxmlformats.org/spreadsheetml/2006/main" count="348" uniqueCount="162">
  <si>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</si>
  <si>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</si>
  <si>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</si>
  <si>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</si>
  <si>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</si>
  <si>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</si>
  <si>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</si>
  <si>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</si>
  <si>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</si>
  <si>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</si>
  <si>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</si>
  <si>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</si>
  <si>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</si>
  <si>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</si>
  <si>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</si>
  <si>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</si>
  <si>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</si>
  <si>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</si>
  <si>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</si>
  <si>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</si>
  <si>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</si>
  <si>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</si>
  <si>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</si>
  <si>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</si>
  <si>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</si>
  <si>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</si>
  <si>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</si>
  <si>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</si>
  <si>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Prihodi od prodaje proizvedene dugotrajne imovine</t>
  </si>
  <si>
    <t>Prihodi iz nadležnog proračuna i od HZZO-a temeljem ugovornih obveza</t>
  </si>
  <si>
    <t>Rashodi za nabavu proizvedene dugotrajne imovine</t>
  </si>
  <si>
    <t>Naziv</t>
  </si>
  <si>
    <t>FINANCIJSKI PLAN PRORAČUNSKOG KORISNIKA JEDINICE LOKALNE I PODRUČNE (REGIONALNE) SAMOUPRAVE 
ZA 2024. I PROJEKCIJA ZA 2025. I 2026. GODINU</t>
  </si>
  <si>
    <t>Plan za 2024.</t>
  </si>
  <si>
    <t>Projekcija 
za 2026.</t>
  </si>
  <si>
    <t>Izvršenje 2022.</t>
  </si>
  <si>
    <t>Plan 2023.</t>
  </si>
  <si>
    <t>EUR</t>
  </si>
  <si>
    <t>Izvršenje 2022.*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</si>
  <si>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</si>
  <si>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</si>
  <si>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</si>
  <si>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</si>
  <si>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</si>
  <si>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</si>
  <si>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</si>
  <si>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</si>
  <si>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Projekcija proračuna
za 2025.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</si>
  <si>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</si>
  <si>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</si>
  <si>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</si>
  <si>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</si>
  <si>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</si>
  <si>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</si>
  <si>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</si>
  <si>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</si>
  <si>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</si>
  <si>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</si>
  <si>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</si>
  <si>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</si>
  <si>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</si>
  <si>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</si>
  <si>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</si>
  <si>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</si>
  <si>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</si>
  <si>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</si>
  <si>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</si>
  <si>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</si>
  <si>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</si>
  <si>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</si>
  <si>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</si>
  <si>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</si>
  <si>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</si>
  <si>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</si>
  <si>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Pomoći iz inozemstva i od subjekta unutar općeg proračuna</t>
  </si>
  <si>
    <t>Prihodi od upravnih i administrativnih pristojbi, pristojbi po posebnim propisima i naknadama</t>
  </si>
  <si>
    <t>Prihodi od prodaje proizvoda i robe te pruženih usluga i prihodi od donacija</t>
  </si>
  <si>
    <t>Vlastiti izvori</t>
  </si>
  <si>
    <t>Višak prihoda SŠ</t>
  </si>
  <si>
    <t>Prihodi od prodaje neproizvedene dugotrajne imovine</t>
  </si>
  <si>
    <t>Naknade građanima i kućanstvima na temelju osiguranja i druge nakanade</t>
  </si>
  <si>
    <t>Ostali rashodi</t>
  </si>
  <si>
    <t>Rashodi za dodatna ulaganja na nefinancijskoj imovini</t>
  </si>
  <si>
    <t xml:space="preserve">  12 višak prihoda - ZŽ</t>
  </si>
  <si>
    <t xml:space="preserve">  19 Predfinanciranje iz ŽP za EU projekte</t>
  </si>
  <si>
    <t xml:space="preserve">  31 Vlastiti prihodi - korisnici</t>
  </si>
  <si>
    <t>4 Prihod za posebne namjene</t>
  </si>
  <si>
    <t xml:space="preserve">  41 Prihod za posebne namjene</t>
  </si>
  <si>
    <t xml:space="preserve">  42 Višak sredstava SŠ</t>
  </si>
  <si>
    <t xml:space="preserve">  45 F.P. i dod.udio u por. na dohodak</t>
  </si>
  <si>
    <t xml:space="preserve">  51 Državni proračun</t>
  </si>
  <si>
    <t xml:space="preserve">  53 Proračun JLS</t>
  </si>
  <si>
    <t xml:space="preserve">  54 Pomoći iz inozemstva (EU)</t>
  </si>
  <si>
    <t>6 Donacije</t>
  </si>
  <si>
    <t xml:space="preserve">  61 Tekuće donacije - korisnici</t>
  </si>
  <si>
    <t>09 OBRAZOVANJE</t>
  </si>
  <si>
    <t>0922 Više srednjoškolsko obrazovanje</t>
  </si>
  <si>
    <t>PROGRAM 2204</t>
  </si>
  <si>
    <t>SREDNJE ŠKOLSTVO - STANDARD</t>
  </si>
  <si>
    <t>Aktivnost A2204-01</t>
  </si>
  <si>
    <t>Djelatnost srednjih škola</t>
  </si>
  <si>
    <t>Izvor financiranja 45</t>
  </si>
  <si>
    <t>F.P. i dodatni udio u porezu na dohodak</t>
  </si>
  <si>
    <t>Kapitalni projekt K2204-02</t>
  </si>
  <si>
    <t>Opremanje poslovnih prostora</t>
  </si>
  <si>
    <t>Izvor financiranja 12</t>
  </si>
  <si>
    <t>Višak prihoda - ZŽ</t>
  </si>
  <si>
    <t>Tekući projekt T2204-04</t>
  </si>
  <si>
    <t>Hitne intervencije u srednjim školama</t>
  </si>
  <si>
    <t>Aktivnost A2204-07</t>
  </si>
  <si>
    <t>Administracija i upravljanje</t>
  </si>
  <si>
    <t>Izvor financiranja 51</t>
  </si>
  <si>
    <t>Državni proračun</t>
  </si>
  <si>
    <t>PROGRAM 2205</t>
  </si>
  <si>
    <t>SREDNJE ŠKOLSTVO - IZNAD STANDARD</t>
  </si>
  <si>
    <t>Aktivnost A2205-01</t>
  </si>
  <si>
    <t>Javne potrebe u prosvjeti - korisnici u SŠ</t>
  </si>
  <si>
    <t>Izvor financiranja 11</t>
  </si>
  <si>
    <t>Opći prihodi i primici</t>
  </si>
  <si>
    <t>Aktivnost A2205-012</t>
  </si>
  <si>
    <t>Podizanje kvalitete i standarda u školstvu</t>
  </si>
  <si>
    <t>Izvor financiranja 31</t>
  </si>
  <si>
    <t>Vlastiti prihodi - korisnici</t>
  </si>
  <si>
    <t>Izvor financiranja 41</t>
  </si>
  <si>
    <t>Prihodi za posebne namjene</t>
  </si>
  <si>
    <t>Izvor financiranja 53</t>
  </si>
  <si>
    <t>Proračun JLS</t>
  </si>
  <si>
    <t>Izvor financiranja 61</t>
  </si>
  <si>
    <t>Tekuće donacije - korisnici</t>
  </si>
  <si>
    <t>Izvor financiranja 42</t>
  </si>
  <si>
    <t>Višak prihoda poslovanja</t>
  </si>
  <si>
    <t>Aktivnost A2205-13</t>
  </si>
  <si>
    <t>Financiranje deficitarnih zanimanja</t>
  </si>
  <si>
    <t>Aktivnost A2205-22</t>
  </si>
  <si>
    <t>Natjecanja i smotre u SŠ</t>
  </si>
  <si>
    <t>Aktivnost A2205-34</t>
  </si>
  <si>
    <t>Projekt e-škole</t>
  </si>
  <si>
    <t>Aktivnost A2205-37</t>
  </si>
  <si>
    <t>Zalihe menstrualnih potrepština</t>
  </si>
  <si>
    <t>PROGRAM 4301</t>
  </si>
  <si>
    <t>RAZVOJNI PROJEKTI EU</t>
  </si>
  <si>
    <t>Tekući projekt T4301-67</t>
  </si>
  <si>
    <t>Pomoćnici u nastavi</t>
  </si>
  <si>
    <t>PROGRAM 4302</t>
  </si>
  <si>
    <t>PROJEKT EU</t>
  </si>
  <si>
    <t>Tekući projekt T4302-90</t>
  </si>
  <si>
    <t>Projekt Erasmus+ Luna</t>
  </si>
  <si>
    <t>Izvor financiranja42</t>
  </si>
  <si>
    <t>PROGRAM 4306-03</t>
  </si>
  <si>
    <t>NACIONALNI EU PROJEKTI</t>
  </si>
  <si>
    <t>Tekući projekt T4306-03</t>
  </si>
  <si>
    <t>Inkluzija - korak bliže društvu bez prepreka 2021</t>
  </si>
  <si>
    <t>Izvor financiranja 19</t>
  </si>
  <si>
    <t>Predfinaciranje iz ŽP</t>
  </si>
  <si>
    <t>Izvor financiranja 54</t>
  </si>
  <si>
    <t>Pomoći iz inozemstva</t>
  </si>
  <si>
    <t>Tekući projekt T4306-16</t>
  </si>
  <si>
    <t>Projekt Erasmus+ Različiti zajedno</t>
  </si>
  <si>
    <t>RAZDJEL 030</t>
  </si>
  <si>
    <t>UPRAVNI ODJEL ZA OBRAZOVANJE, KULTURU I ŠPORT</t>
  </si>
  <si>
    <t>GLAVA 030-05</t>
  </si>
  <si>
    <t>SREDNJOŠKOLSKO OBRZOVANJE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</si>
</sst>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wrapText="1"/>
    </xf>
    <xf numFmtId="0" fontId="18" fillId="0" borderId="0" xfId="0" quotePrefix="1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0" fillId="0" borderId="0" xfId="0" applyFont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4" fontId="6" fillId="4" borderId="4" xfId="0" applyNumberFormat="1" applyFont="1" applyFill="1" applyBorder="1" applyAlignment="1">
      <alignment horizontal="center"/>
    </xf>
    <xf numFmtId="4" fontId="6" fillId="3" borderId="4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15" fillId="2" borderId="4" xfId="0" applyNumberFormat="1" applyFont="1" applyFill="1" applyBorder="1" applyAlignment="1">
      <alignment horizontal="right"/>
    </xf>
    <xf numFmtId="4" fontId="15" fillId="2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" fontId="15" fillId="2" borderId="3" xfId="0" applyNumberFormat="1" applyFont="1" applyFill="1" applyBorder="1" applyAlignment="1" applyProtection="1">
      <alignment horizontal="right" wrapText="1"/>
    </xf>
    <xf numFmtId="4" fontId="6" fillId="0" borderId="4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Border="1" applyAlignment="1">
      <alignment horizontal="right"/>
    </xf>
    <xf numFmtId="4" fontId="0" fillId="0" borderId="0" xfId="0" applyNumberFormat="1"/>
    <xf numFmtId="0" fontId="12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vertical="center" wrapText="1"/>
    </xf>
    <xf numFmtId="0" fontId="15" fillId="2" borderId="1" xfId="0" applyNumberFormat="1" applyFont="1" applyFill="1" applyBorder="1" applyAlignment="1" applyProtection="1">
      <alignment horizontal="left" vertical="center" wrapText="1"/>
    </xf>
    <xf numFmtId="0" fontId="15" fillId="2" borderId="2" xfId="0" applyNumberFormat="1" applyFont="1" applyFill="1" applyBorder="1" applyAlignment="1" applyProtection="1">
      <alignment horizontal="left" vertical="center" wrapText="1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workbookViewId="0">
      <selection activeCell="G28" sqref="G28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91" t="s">
        <v>32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18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x14ac:dyDescent="0.25">
      <c r="A3" s="91" t="s">
        <v>19</v>
      </c>
      <c r="B3" s="91"/>
      <c r="C3" s="91"/>
      <c r="D3" s="91"/>
      <c r="E3" s="91"/>
      <c r="F3" s="91"/>
      <c r="G3" s="91"/>
      <c r="H3" s="91"/>
      <c r="I3" s="104"/>
      <c r="J3" s="104"/>
    </row>
    <row r="4" spans="1:10" ht="18" x14ac:dyDescent="0.25">
      <c r="A4" s="24"/>
      <c r="B4" s="24"/>
      <c r="C4" s="24"/>
      <c r="D4" s="24"/>
      <c r="E4" s="24"/>
      <c r="F4" s="24"/>
      <c r="G4" s="24"/>
      <c r="H4" s="24"/>
      <c r="I4" s="5"/>
      <c r="J4" s="5"/>
    </row>
    <row r="5" spans="1:10" ht="15.75" x14ac:dyDescent="0.25">
      <c r="A5" s="91" t="s">
        <v>25</v>
      </c>
      <c r="B5" s="92"/>
      <c r="C5" s="92"/>
      <c r="D5" s="92"/>
      <c r="E5" s="92"/>
      <c r="F5" s="92"/>
      <c r="G5" s="92"/>
      <c r="H5" s="92"/>
      <c r="I5" s="92"/>
      <c r="J5" s="92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3" t="s">
        <v>37</v>
      </c>
    </row>
    <row r="7" spans="1:10" ht="25.5" x14ac:dyDescent="0.25">
      <c r="A7" s="27"/>
      <c r="B7" s="28"/>
      <c r="C7" s="28"/>
      <c r="D7" s="29"/>
      <c r="E7" s="30"/>
      <c r="F7" s="3" t="s">
        <v>38</v>
      </c>
      <c r="G7" s="3" t="s">
        <v>36</v>
      </c>
      <c r="H7" s="3" t="s">
        <v>46</v>
      </c>
      <c r="I7" s="3" t="s">
        <v>47</v>
      </c>
      <c r="J7" s="3" t="s">
        <v>48</v>
      </c>
    </row>
    <row r="8" spans="1:10" x14ac:dyDescent="0.25">
      <c r="A8" s="96" t="s">
        <v>0</v>
      </c>
      <c r="B8" s="90"/>
      <c r="C8" s="90"/>
      <c r="D8" s="90"/>
      <c r="E8" s="105"/>
      <c r="F8" s="74">
        <f>F9+F10</f>
        <v>1697321.6258544028</v>
      </c>
      <c r="G8" s="74">
        <f t="shared" ref="G8:J8" si="0">G9+G10</f>
        <v>1737677.28</v>
      </c>
      <c r="H8" s="74">
        <f t="shared" si="0"/>
        <v>1882018.34</v>
      </c>
      <c r="I8" s="74">
        <f t="shared" si="0"/>
        <v>1923425.15</v>
      </c>
      <c r="J8" s="74">
        <f t="shared" si="0"/>
        <v>1971510.86</v>
      </c>
    </row>
    <row r="9" spans="1:10" x14ac:dyDescent="0.25">
      <c r="A9" s="106" t="s">
        <v>40</v>
      </c>
      <c r="B9" s="107"/>
      <c r="C9" s="107"/>
      <c r="D9" s="107"/>
      <c r="E9" s="103"/>
      <c r="F9" s="83">
        <f>12788469.79/7.5345</f>
        <v>1697321.6258544028</v>
      </c>
      <c r="G9" s="83">
        <f>1768341.98-30664.7</f>
        <v>1737677.28</v>
      </c>
      <c r="H9" s="83">
        <f>1890018.34-8000</f>
        <v>1882018.34</v>
      </c>
      <c r="I9" s="83">
        <f>1931625.15-8200</f>
        <v>1923425.15</v>
      </c>
      <c r="J9" s="83">
        <f>1979915.86-8405</f>
        <v>1971510.86</v>
      </c>
    </row>
    <row r="10" spans="1:10" x14ac:dyDescent="0.25">
      <c r="A10" s="108" t="s">
        <v>41</v>
      </c>
      <c r="B10" s="103"/>
      <c r="C10" s="103"/>
      <c r="D10" s="103"/>
      <c r="E10" s="103"/>
      <c r="F10" s="83"/>
      <c r="G10" s="83"/>
      <c r="H10" s="83"/>
      <c r="I10" s="83"/>
      <c r="J10" s="83"/>
    </row>
    <row r="11" spans="1:10" x14ac:dyDescent="0.25">
      <c r="A11" s="34" t="s">
        <v>1</v>
      </c>
      <c r="B11" s="42"/>
      <c r="C11" s="42"/>
      <c r="D11" s="42"/>
      <c r="E11" s="42"/>
      <c r="F11" s="74">
        <f>F12+F13</f>
        <v>1681130.7558563941</v>
      </c>
      <c r="G11" s="74">
        <f t="shared" ref="G11:J11" si="1">G12+G13</f>
        <v>1768341.98</v>
      </c>
      <c r="H11" s="74">
        <f t="shared" si="1"/>
        <v>1890018.34</v>
      </c>
      <c r="I11" s="74">
        <f t="shared" si="1"/>
        <v>1931625.15</v>
      </c>
      <c r="J11" s="74">
        <f t="shared" si="1"/>
        <v>1979915.86</v>
      </c>
    </row>
    <row r="12" spans="1:10" x14ac:dyDescent="0.25">
      <c r="A12" s="109" t="s">
        <v>42</v>
      </c>
      <c r="B12" s="107"/>
      <c r="C12" s="107"/>
      <c r="D12" s="107"/>
      <c r="E12" s="107"/>
      <c r="F12" s="83">
        <f>12402721.3/7.5345</f>
        <v>1646124.0029199019</v>
      </c>
      <c r="G12" s="83">
        <f>1768341.98-G13</f>
        <v>1763541.98</v>
      </c>
      <c r="H12" s="83">
        <f>1890018.34-H13</f>
        <v>1888018.34</v>
      </c>
      <c r="I12" s="83">
        <f>1931625.15-I13</f>
        <v>1929575.15</v>
      </c>
      <c r="J12" s="84">
        <f>1979915.86-J13</f>
        <v>1977814.6</v>
      </c>
    </row>
    <row r="13" spans="1:10" x14ac:dyDescent="0.25">
      <c r="A13" s="102" t="s">
        <v>43</v>
      </c>
      <c r="B13" s="103"/>
      <c r="C13" s="103"/>
      <c r="D13" s="103"/>
      <c r="E13" s="103"/>
      <c r="F13" s="85">
        <f>263758.38/7.5345</f>
        <v>35006.752936492136</v>
      </c>
      <c r="G13" s="85">
        <f>1500+2000+1300</f>
        <v>4800</v>
      </c>
      <c r="H13" s="85">
        <f>2000</f>
        <v>2000</v>
      </c>
      <c r="I13" s="85">
        <f>1025+1025</f>
        <v>2050</v>
      </c>
      <c r="J13" s="84">
        <f>1050.63+1050.63</f>
        <v>2101.2600000000002</v>
      </c>
    </row>
    <row r="14" spans="1:10" x14ac:dyDescent="0.25">
      <c r="A14" s="89" t="s">
        <v>66</v>
      </c>
      <c r="B14" s="90"/>
      <c r="C14" s="90"/>
      <c r="D14" s="90"/>
      <c r="E14" s="90"/>
      <c r="F14" s="74">
        <f>F8-F11</f>
        <v>16190.869998008711</v>
      </c>
      <c r="G14" s="74">
        <f t="shared" ref="G14:J14" si="2">G8-G11</f>
        <v>-30664.699999999953</v>
      </c>
      <c r="H14" s="74">
        <f t="shared" si="2"/>
        <v>-8000</v>
      </c>
      <c r="I14" s="74">
        <f t="shared" si="2"/>
        <v>-8200</v>
      </c>
      <c r="J14" s="74">
        <f t="shared" si="2"/>
        <v>-8405</v>
      </c>
    </row>
    <row r="15" spans="1:10" ht="18" x14ac:dyDescent="0.25">
      <c r="A15" s="24"/>
      <c r="B15" s="22"/>
      <c r="C15" s="22"/>
      <c r="D15" s="22"/>
      <c r="E15" s="22"/>
      <c r="F15" s="22"/>
      <c r="G15" s="22"/>
      <c r="H15" s="23"/>
      <c r="I15" s="23"/>
      <c r="J15" s="23"/>
    </row>
    <row r="16" spans="1:10" ht="15.75" x14ac:dyDescent="0.25">
      <c r="A16" s="91" t="s">
        <v>26</v>
      </c>
      <c r="B16" s="92"/>
      <c r="C16" s="92"/>
      <c r="D16" s="92"/>
      <c r="E16" s="92"/>
      <c r="F16" s="92"/>
      <c r="G16" s="92"/>
      <c r="H16" s="92"/>
      <c r="I16" s="92"/>
      <c r="J16" s="92"/>
    </row>
    <row r="17" spans="1:10" ht="18" x14ac:dyDescent="0.25">
      <c r="A17" s="24"/>
      <c r="B17" s="22"/>
      <c r="C17" s="22"/>
      <c r="D17" s="22"/>
      <c r="E17" s="22"/>
      <c r="F17" s="22"/>
      <c r="G17" s="22"/>
      <c r="H17" s="23"/>
      <c r="I17" s="23"/>
      <c r="J17" s="23"/>
    </row>
    <row r="18" spans="1:10" ht="25.5" x14ac:dyDescent="0.25">
      <c r="A18" s="27"/>
      <c r="B18" s="28"/>
      <c r="C18" s="28"/>
      <c r="D18" s="29"/>
      <c r="E18" s="30"/>
      <c r="F18" s="3" t="s">
        <v>38</v>
      </c>
      <c r="G18" s="3" t="s">
        <v>36</v>
      </c>
      <c r="H18" s="3" t="s">
        <v>46</v>
      </c>
      <c r="I18" s="3" t="s">
        <v>47</v>
      </c>
      <c r="J18" s="3" t="s">
        <v>48</v>
      </c>
    </row>
    <row r="19" spans="1:10" x14ac:dyDescent="0.25">
      <c r="A19" s="102" t="s">
        <v>44</v>
      </c>
      <c r="B19" s="103"/>
      <c r="C19" s="103"/>
      <c r="D19" s="103"/>
      <c r="E19" s="103"/>
      <c r="F19" s="44"/>
      <c r="G19" s="44"/>
      <c r="H19" s="44"/>
      <c r="I19" s="44"/>
      <c r="J19" s="43"/>
    </row>
    <row r="20" spans="1:10" x14ac:dyDescent="0.25">
      <c r="A20" s="102" t="s">
        <v>45</v>
      </c>
      <c r="B20" s="103"/>
      <c r="C20" s="103"/>
      <c r="D20" s="103"/>
      <c r="E20" s="103"/>
      <c r="F20" s="44"/>
      <c r="G20" s="44"/>
      <c r="H20" s="44"/>
      <c r="I20" s="44"/>
      <c r="J20" s="43"/>
    </row>
    <row r="21" spans="1:10" x14ac:dyDescent="0.25">
      <c r="A21" s="89" t="s">
        <v>2</v>
      </c>
      <c r="B21" s="90"/>
      <c r="C21" s="90"/>
      <c r="D21" s="90"/>
      <c r="E21" s="90"/>
      <c r="F21" s="31">
        <f>F19-F20</f>
        <v>0</v>
      </c>
      <c r="G21" s="31">
        <f t="shared" ref="G21:J21" si="3">G19-G20</f>
        <v>0</v>
      </c>
      <c r="H21" s="31">
        <f t="shared" si="3"/>
        <v>0</v>
      </c>
      <c r="I21" s="31">
        <f t="shared" si="3"/>
        <v>0</v>
      </c>
      <c r="J21" s="31">
        <f t="shared" si="3"/>
        <v>0</v>
      </c>
    </row>
    <row r="22" spans="1:10" x14ac:dyDescent="0.25">
      <c r="A22" s="89" t="s">
        <v>67</v>
      </c>
      <c r="B22" s="90"/>
      <c r="C22" s="90"/>
      <c r="D22" s="90"/>
      <c r="E22" s="90"/>
      <c r="F22" s="31">
        <f>F14+F21</f>
        <v>16190.869998008711</v>
      </c>
      <c r="G22" s="31">
        <f t="shared" ref="G22:J22" si="4">G14+G21</f>
        <v>-30664.699999999953</v>
      </c>
      <c r="H22" s="31">
        <f t="shared" si="4"/>
        <v>-8000</v>
      </c>
      <c r="I22" s="31">
        <f t="shared" si="4"/>
        <v>-8200</v>
      </c>
      <c r="J22" s="31">
        <f t="shared" si="4"/>
        <v>-8405</v>
      </c>
    </row>
    <row r="23" spans="1:10" ht="18" x14ac:dyDescent="0.25">
      <c r="A23" s="21"/>
      <c r="B23" s="22"/>
      <c r="C23" s="22"/>
      <c r="D23" s="22"/>
      <c r="E23" s="22"/>
      <c r="F23" s="22"/>
      <c r="G23" s="22"/>
      <c r="H23" s="23"/>
      <c r="I23" s="23"/>
      <c r="J23" s="23"/>
    </row>
    <row r="24" spans="1:10" ht="15.75" x14ac:dyDescent="0.25">
      <c r="A24" s="91" t="s">
        <v>68</v>
      </c>
      <c r="B24" s="92"/>
      <c r="C24" s="92"/>
      <c r="D24" s="92"/>
      <c r="E24" s="92"/>
      <c r="F24" s="92"/>
      <c r="G24" s="92"/>
      <c r="H24" s="92"/>
      <c r="I24" s="92"/>
      <c r="J24" s="92"/>
    </row>
    <row r="25" spans="1:10" ht="15.75" x14ac:dyDescent="0.25">
      <c r="A25" s="40"/>
      <c r="B25" s="41"/>
      <c r="C25" s="41"/>
      <c r="D25" s="41"/>
      <c r="E25" s="41"/>
      <c r="F25" s="41"/>
      <c r="G25" s="41"/>
      <c r="H25" s="41"/>
      <c r="I25" s="41"/>
      <c r="J25" s="41"/>
    </row>
    <row r="26" spans="1:10" ht="25.5" x14ac:dyDescent="0.25">
      <c r="A26" s="27"/>
      <c r="B26" s="28"/>
      <c r="C26" s="28"/>
      <c r="D26" s="29"/>
      <c r="E26" s="30"/>
      <c r="F26" s="3" t="s">
        <v>38</v>
      </c>
      <c r="G26" s="3" t="s">
        <v>36</v>
      </c>
      <c r="H26" s="3" t="s">
        <v>46</v>
      </c>
      <c r="I26" s="3" t="s">
        <v>47</v>
      </c>
      <c r="J26" s="3" t="s">
        <v>48</v>
      </c>
    </row>
    <row r="27" spans="1:10" ht="15" customHeight="1" x14ac:dyDescent="0.25">
      <c r="A27" s="93" t="s">
        <v>69</v>
      </c>
      <c r="B27" s="94"/>
      <c r="C27" s="94"/>
      <c r="D27" s="94"/>
      <c r="E27" s="95"/>
      <c r="F27" s="45">
        <f>103547.03/7.5345</f>
        <v>13743.052624593536</v>
      </c>
      <c r="G27" s="45">
        <v>30665</v>
      </c>
      <c r="H27" s="45">
        <v>8000</v>
      </c>
      <c r="I27" s="45">
        <v>8200</v>
      </c>
      <c r="J27" s="46">
        <v>8405</v>
      </c>
    </row>
    <row r="28" spans="1:10" ht="15" customHeight="1" x14ac:dyDescent="0.25">
      <c r="A28" s="89" t="s">
        <v>70</v>
      </c>
      <c r="B28" s="90"/>
      <c r="C28" s="90"/>
      <c r="D28" s="90"/>
      <c r="E28" s="90"/>
      <c r="F28" s="47">
        <f>F22+F27</f>
        <v>29933.922622602247</v>
      </c>
      <c r="G28" s="47">
        <f t="shared" ref="G28:J28" si="5">G22+G27</f>
        <v>0.30000000004656613</v>
      </c>
      <c r="H28" s="47">
        <f t="shared" si="5"/>
        <v>0</v>
      </c>
      <c r="I28" s="47">
        <f t="shared" si="5"/>
        <v>0</v>
      </c>
      <c r="J28" s="48">
        <f t="shared" si="5"/>
        <v>0</v>
      </c>
    </row>
    <row r="29" spans="1:10" ht="45" customHeight="1" x14ac:dyDescent="0.25">
      <c r="A29" s="96" t="s">
        <v>71</v>
      </c>
      <c r="B29" s="97"/>
      <c r="C29" s="97"/>
      <c r="D29" s="97"/>
      <c r="E29" s="98"/>
      <c r="F29" s="47">
        <f>F14+F21+F27-F28</f>
        <v>0</v>
      </c>
      <c r="G29" s="47">
        <f t="shared" ref="G29:J29" si="6">G14+G21+G27-G28</f>
        <v>0</v>
      </c>
      <c r="H29" s="47">
        <f t="shared" si="6"/>
        <v>0</v>
      </c>
      <c r="I29" s="47">
        <f t="shared" si="6"/>
        <v>0</v>
      </c>
      <c r="J29" s="48">
        <f t="shared" si="6"/>
        <v>0</v>
      </c>
    </row>
    <row r="30" spans="1:10" ht="15.75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</row>
    <row r="31" spans="1:10" ht="15.75" x14ac:dyDescent="0.25">
      <c r="A31" s="99" t="s">
        <v>65</v>
      </c>
      <c r="B31" s="99"/>
      <c r="C31" s="99"/>
      <c r="D31" s="99"/>
      <c r="E31" s="99"/>
      <c r="F31" s="99"/>
      <c r="G31" s="99"/>
      <c r="H31" s="99"/>
      <c r="I31" s="99"/>
      <c r="J31" s="99"/>
    </row>
    <row r="32" spans="1:10" ht="18" x14ac:dyDescent="0.25">
      <c r="A32" s="51"/>
      <c r="B32" s="52"/>
      <c r="C32" s="52"/>
      <c r="D32" s="52"/>
      <c r="E32" s="52"/>
      <c r="F32" s="52"/>
      <c r="G32" s="52"/>
      <c r="H32" s="53"/>
      <c r="I32" s="53"/>
      <c r="J32" s="53"/>
    </row>
    <row r="33" spans="1:10" ht="25.5" x14ac:dyDescent="0.25">
      <c r="A33" s="54"/>
      <c r="B33" s="55"/>
      <c r="C33" s="55"/>
      <c r="D33" s="56"/>
      <c r="E33" s="57"/>
      <c r="F33" s="58" t="s">
        <v>38</v>
      </c>
      <c r="G33" s="58" t="s">
        <v>36</v>
      </c>
      <c r="H33" s="58" t="s">
        <v>46</v>
      </c>
      <c r="I33" s="58" t="s">
        <v>47</v>
      </c>
      <c r="J33" s="58" t="s">
        <v>48</v>
      </c>
    </row>
    <row r="34" spans="1:10" x14ac:dyDescent="0.25">
      <c r="A34" s="93" t="s">
        <v>69</v>
      </c>
      <c r="B34" s="94"/>
      <c r="C34" s="94"/>
      <c r="D34" s="94"/>
      <c r="E34" s="95"/>
      <c r="F34" s="45">
        <v>13743</v>
      </c>
      <c r="G34" s="45">
        <v>30665</v>
      </c>
      <c r="H34" s="45">
        <f>G37</f>
        <v>8000</v>
      </c>
      <c r="I34" s="45">
        <f>H37</f>
        <v>8200</v>
      </c>
      <c r="J34" s="46">
        <f>I37</f>
        <v>8405</v>
      </c>
    </row>
    <row r="35" spans="1:10" ht="28.5" customHeight="1" x14ac:dyDescent="0.25">
      <c r="A35" s="93" t="s">
        <v>72</v>
      </c>
      <c r="B35" s="94"/>
      <c r="C35" s="94"/>
      <c r="D35" s="94"/>
      <c r="E35" s="95"/>
      <c r="F35" s="45">
        <v>13743</v>
      </c>
      <c r="G35" s="45">
        <v>30665</v>
      </c>
      <c r="H35" s="45">
        <v>8000</v>
      </c>
      <c r="I35" s="45">
        <v>8200</v>
      </c>
      <c r="J35" s="46">
        <v>8405</v>
      </c>
    </row>
    <row r="36" spans="1:10" x14ac:dyDescent="0.25">
      <c r="A36" s="93" t="s">
        <v>73</v>
      </c>
      <c r="B36" s="100"/>
      <c r="C36" s="100"/>
      <c r="D36" s="100"/>
      <c r="E36" s="101"/>
      <c r="F36" s="45">
        <v>29934</v>
      </c>
      <c r="G36" s="45">
        <v>8000</v>
      </c>
      <c r="H36" s="45">
        <v>8200</v>
      </c>
      <c r="I36" s="45">
        <v>8405</v>
      </c>
      <c r="J36" s="46">
        <v>0</v>
      </c>
    </row>
    <row r="37" spans="1:10" ht="15" customHeight="1" x14ac:dyDescent="0.25">
      <c r="A37" s="89" t="s">
        <v>70</v>
      </c>
      <c r="B37" s="90"/>
      <c r="C37" s="90"/>
      <c r="D37" s="90"/>
      <c r="E37" s="90"/>
      <c r="F37" s="32">
        <f>F34-F35+F36</f>
        <v>29934</v>
      </c>
      <c r="G37" s="32">
        <f t="shared" ref="G37:J37" si="7">G34-G35+G36</f>
        <v>8000</v>
      </c>
      <c r="H37" s="32">
        <f t="shared" si="7"/>
        <v>8200</v>
      </c>
      <c r="I37" s="32">
        <f t="shared" si="7"/>
        <v>8405</v>
      </c>
      <c r="J37" s="59">
        <f t="shared" si="7"/>
        <v>0</v>
      </c>
    </row>
    <row r="38" spans="1:10" ht="17.25" customHeight="1" x14ac:dyDescent="0.25"/>
    <row r="39" spans="1:10" x14ac:dyDescent="0.25">
      <c r="A39" s="87" t="s">
        <v>39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 ht="9" customHeight="1" x14ac:dyDescent="0.25"/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workbookViewId="0">
      <selection activeCell="F14" sqref="F1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91" t="s">
        <v>32</v>
      </c>
      <c r="B1" s="91"/>
      <c r="C1" s="91"/>
      <c r="D1" s="91"/>
      <c r="E1" s="91"/>
      <c r="F1" s="91"/>
      <c r="G1" s="91"/>
      <c r="H1" s="91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91" t="s">
        <v>19</v>
      </c>
      <c r="B3" s="91"/>
      <c r="C3" s="91"/>
      <c r="D3" s="91"/>
      <c r="E3" s="91"/>
      <c r="F3" s="91"/>
      <c r="G3" s="91"/>
      <c r="H3" s="91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91" t="s">
        <v>4</v>
      </c>
      <c r="B5" s="91"/>
      <c r="C5" s="91"/>
      <c r="D5" s="91"/>
      <c r="E5" s="91"/>
      <c r="F5" s="91"/>
      <c r="G5" s="91"/>
      <c r="H5" s="91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91" t="s">
        <v>49</v>
      </c>
      <c r="B7" s="91"/>
      <c r="C7" s="91"/>
      <c r="D7" s="91"/>
      <c r="E7" s="91"/>
      <c r="F7" s="91"/>
      <c r="G7" s="91"/>
      <c r="H7" s="91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20" t="s">
        <v>5</v>
      </c>
      <c r="B9" s="19" t="s">
        <v>6</v>
      </c>
      <c r="C9" s="19" t="s">
        <v>3</v>
      </c>
      <c r="D9" s="19" t="s">
        <v>35</v>
      </c>
      <c r="E9" s="20" t="s">
        <v>36</v>
      </c>
      <c r="F9" s="20" t="s">
        <v>33</v>
      </c>
      <c r="G9" s="20" t="s">
        <v>27</v>
      </c>
      <c r="H9" s="20" t="s">
        <v>34</v>
      </c>
    </row>
    <row r="10" spans="1:8" x14ac:dyDescent="0.25">
      <c r="A10" s="36"/>
      <c r="B10" s="37"/>
      <c r="C10" s="35" t="s">
        <v>0</v>
      </c>
      <c r="D10" s="81">
        <f>D11+D16+D19</f>
        <v>1711064.6784789965</v>
      </c>
      <c r="E10" s="81">
        <f t="shared" ref="E10:H10" si="0">E11+E16+E19</f>
        <v>1768341.98</v>
      </c>
      <c r="F10" s="81">
        <f t="shared" si="0"/>
        <v>1890018.34</v>
      </c>
      <c r="G10" s="81">
        <f t="shared" si="0"/>
        <v>1931625.15</v>
      </c>
      <c r="H10" s="81">
        <f t="shared" si="0"/>
        <v>1979915.8599999996</v>
      </c>
    </row>
    <row r="11" spans="1:8" ht="15.75" customHeight="1" x14ac:dyDescent="0.25">
      <c r="A11" s="11">
        <v>6</v>
      </c>
      <c r="B11" s="11"/>
      <c r="C11" s="11" t="s">
        <v>7</v>
      </c>
      <c r="D11" s="79">
        <f>SUM(D12:D15)</f>
        <v>1697321.625854403</v>
      </c>
      <c r="E11" s="79">
        <f t="shared" ref="E11:H11" si="1">SUM(E12:E15)</f>
        <v>1737677.28</v>
      </c>
      <c r="F11" s="79">
        <f t="shared" si="1"/>
        <v>1882018.34</v>
      </c>
      <c r="G11" s="79">
        <f t="shared" si="1"/>
        <v>1923425.15</v>
      </c>
      <c r="H11" s="79">
        <f t="shared" si="1"/>
        <v>1971510.8599999996</v>
      </c>
    </row>
    <row r="12" spans="1:8" ht="38.25" x14ac:dyDescent="0.25">
      <c r="A12" s="11"/>
      <c r="B12" s="16">
        <v>63</v>
      </c>
      <c r="C12" s="26" t="s">
        <v>74</v>
      </c>
      <c r="D12" s="77">
        <f>11222983.06/7.5345</f>
        <v>1489545.8305129737</v>
      </c>
      <c r="E12" s="77">
        <f>1539288.6</f>
        <v>1539288.6</v>
      </c>
      <c r="F12" s="78">
        <f>29200+1646200+1000+5506</f>
        <v>1681906</v>
      </c>
      <c r="G12" s="78">
        <f>29930+1687355+1025</f>
        <v>1718310</v>
      </c>
      <c r="H12" s="78">
        <f>30678.26+1729538.88+1050.63</f>
        <v>1761267.7699999998</v>
      </c>
    </row>
    <row r="13" spans="1:8" ht="51" x14ac:dyDescent="0.25">
      <c r="A13" s="11"/>
      <c r="B13" s="16">
        <v>65</v>
      </c>
      <c r="C13" s="26" t="s">
        <v>75</v>
      </c>
      <c r="D13" s="77">
        <f>23774.88/7.5345</f>
        <v>3155.4688433207248</v>
      </c>
      <c r="E13" s="77">
        <f>600</f>
        <v>600</v>
      </c>
      <c r="F13" s="78">
        <v>600</v>
      </c>
      <c r="G13" s="78">
        <v>615</v>
      </c>
      <c r="H13" s="78">
        <v>630.38</v>
      </c>
    </row>
    <row r="14" spans="1:8" ht="38.25" x14ac:dyDescent="0.25">
      <c r="A14" s="11"/>
      <c r="B14" s="16">
        <v>66</v>
      </c>
      <c r="C14" s="26" t="s">
        <v>76</v>
      </c>
      <c r="D14" s="77">
        <f>110328.31/7.5345</f>
        <v>14643.083150839471</v>
      </c>
      <c r="E14" s="77">
        <f>3000+4000</f>
        <v>7000</v>
      </c>
      <c r="F14" s="78">
        <v>3000</v>
      </c>
      <c r="G14" s="78">
        <v>3075</v>
      </c>
      <c r="H14" s="78">
        <v>3151.88</v>
      </c>
    </row>
    <row r="15" spans="1:8" ht="38.25" x14ac:dyDescent="0.25">
      <c r="A15" s="12"/>
      <c r="B15" s="12">
        <v>67</v>
      </c>
      <c r="C15" s="16" t="s">
        <v>29</v>
      </c>
      <c r="D15" s="77">
        <f>1431383.54/7.5345</f>
        <v>189977.24334726922</v>
      </c>
      <c r="E15" s="77">
        <v>190788.68</v>
      </c>
      <c r="F15" s="78">
        <v>196512.34</v>
      </c>
      <c r="G15" s="78">
        <v>201425.15</v>
      </c>
      <c r="H15" s="78">
        <v>206460.83</v>
      </c>
    </row>
    <row r="16" spans="1:8" ht="25.5" x14ac:dyDescent="0.25">
      <c r="A16" s="14">
        <v>7</v>
      </c>
      <c r="B16" s="15"/>
      <c r="C16" s="25" t="s">
        <v>8</v>
      </c>
      <c r="D16" s="79">
        <f>D17+D18</f>
        <v>0</v>
      </c>
      <c r="E16" s="79">
        <f t="shared" ref="E16:H16" si="2">E17+E18</f>
        <v>0</v>
      </c>
      <c r="F16" s="79">
        <f t="shared" si="2"/>
        <v>0</v>
      </c>
      <c r="G16" s="79">
        <f t="shared" si="2"/>
        <v>0</v>
      </c>
      <c r="H16" s="79">
        <f t="shared" si="2"/>
        <v>0</v>
      </c>
    </row>
    <row r="17" spans="1:8" ht="38.25" x14ac:dyDescent="0.25">
      <c r="A17" s="12"/>
      <c r="B17" s="16">
        <v>71</v>
      </c>
      <c r="C17" s="26" t="s">
        <v>79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</row>
    <row r="18" spans="1:8" ht="38.25" x14ac:dyDescent="0.25">
      <c r="A18" s="16"/>
      <c r="B18" s="16">
        <v>72</v>
      </c>
      <c r="C18" s="26" t="s">
        <v>28</v>
      </c>
      <c r="D18" s="77">
        <v>0</v>
      </c>
      <c r="E18" s="78"/>
      <c r="F18" s="78"/>
      <c r="G18" s="78"/>
      <c r="H18" s="82"/>
    </row>
    <row r="19" spans="1:8" ht="24.95" customHeight="1" x14ac:dyDescent="0.25">
      <c r="A19" s="14">
        <v>9</v>
      </c>
      <c r="B19" s="15"/>
      <c r="C19" s="11" t="s">
        <v>77</v>
      </c>
      <c r="D19" s="79">
        <f>D20</f>
        <v>13743.052624593536</v>
      </c>
      <c r="E19" s="79">
        <f>E20</f>
        <v>30664.7</v>
      </c>
      <c r="F19" s="79">
        <f t="shared" ref="F19:H19" si="3">F20</f>
        <v>8000</v>
      </c>
      <c r="G19" s="79">
        <f t="shared" si="3"/>
        <v>8200</v>
      </c>
      <c r="H19" s="79">
        <f t="shared" si="3"/>
        <v>8405</v>
      </c>
    </row>
    <row r="20" spans="1:8" ht="24.95" customHeight="1" x14ac:dyDescent="0.25">
      <c r="A20" s="14"/>
      <c r="B20" s="15">
        <v>92</v>
      </c>
      <c r="C20" s="16" t="s">
        <v>78</v>
      </c>
      <c r="D20" s="77">
        <f>103547.03/7.5345</f>
        <v>13743.052624593536</v>
      </c>
      <c r="E20" s="77">
        <v>30664.7</v>
      </c>
      <c r="F20" s="77">
        <v>8000</v>
      </c>
      <c r="G20" s="77">
        <v>8200</v>
      </c>
      <c r="H20" s="77">
        <v>8405</v>
      </c>
    </row>
    <row r="23" spans="1:8" ht="15.75" x14ac:dyDescent="0.25">
      <c r="A23" s="91" t="s">
        <v>50</v>
      </c>
      <c r="B23" s="110"/>
      <c r="C23" s="110"/>
      <c r="D23" s="110"/>
      <c r="E23" s="110"/>
      <c r="F23" s="110"/>
      <c r="G23" s="110"/>
      <c r="H23" s="110"/>
    </row>
    <row r="24" spans="1:8" ht="18" x14ac:dyDescent="0.25">
      <c r="A24" s="4"/>
      <c r="B24" s="4"/>
      <c r="C24" s="4"/>
      <c r="D24" s="4"/>
      <c r="E24" s="4"/>
      <c r="F24" s="4"/>
      <c r="G24" s="5"/>
      <c r="H24" s="5"/>
    </row>
    <row r="25" spans="1:8" ht="25.5" x14ac:dyDescent="0.25">
      <c r="A25" s="20" t="s">
        <v>5</v>
      </c>
      <c r="B25" s="19" t="s">
        <v>6</v>
      </c>
      <c r="C25" s="19" t="s">
        <v>9</v>
      </c>
      <c r="D25" s="19" t="s">
        <v>35</v>
      </c>
      <c r="E25" s="20" t="s">
        <v>36</v>
      </c>
      <c r="F25" s="20" t="s">
        <v>33</v>
      </c>
      <c r="G25" s="20" t="s">
        <v>27</v>
      </c>
      <c r="H25" s="20" t="s">
        <v>34</v>
      </c>
    </row>
    <row r="26" spans="1:8" x14ac:dyDescent="0.25">
      <c r="A26" s="36"/>
      <c r="B26" s="37"/>
      <c r="C26" s="35" t="s">
        <v>1</v>
      </c>
      <c r="D26" s="81">
        <f>D27+D32</f>
        <v>1681130.7558563938</v>
      </c>
      <c r="E26" s="81">
        <f t="shared" ref="E26:H26" si="4">E27+E32</f>
        <v>1768341.98</v>
      </c>
      <c r="F26" s="81">
        <f t="shared" si="4"/>
        <v>1890018.34</v>
      </c>
      <c r="G26" s="81">
        <f t="shared" si="4"/>
        <v>1931625.15</v>
      </c>
      <c r="H26" s="81">
        <f t="shared" si="4"/>
        <v>1979915.8599999999</v>
      </c>
    </row>
    <row r="27" spans="1:8" ht="15.75" customHeight="1" x14ac:dyDescent="0.25">
      <c r="A27" s="11">
        <v>3</v>
      </c>
      <c r="B27" s="11"/>
      <c r="C27" s="11" t="s">
        <v>10</v>
      </c>
      <c r="D27" s="79">
        <f>SUM(D28:D31)</f>
        <v>1646124.0029199016</v>
      </c>
      <c r="E27" s="79">
        <f>SUM(E28:E31)</f>
        <v>1763541.98</v>
      </c>
      <c r="F27" s="79">
        <f t="shared" ref="F27:H27" si="5">SUM(F28:F31)</f>
        <v>1888018.34</v>
      </c>
      <c r="G27" s="79">
        <f t="shared" si="5"/>
        <v>1929575.15</v>
      </c>
      <c r="H27" s="79">
        <f t="shared" si="5"/>
        <v>1977814.5999999999</v>
      </c>
    </row>
    <row r="28" spans="1:8" ht="15.75" customHeight="1" x14ac:dyDescent="0.25">
      <c r="A28" s="11"/>
      <c r="B28" s="16">
        <v>31</v>
      </c>
      <c r="C28" s="16" t="s">
        <v>11</v>
      </c>
      <c r="D28" s="77">
        <f>10944442.9/7.5345</f>
        <v>1452577.1982215142</v>
      </c>
      <c r="E28" s="77">
        <f>1495000</f>
        <v>1495000</v>
      </c>
      <c r="F28" s="78">
        <f>1646200-1700</f>
        <v>1644500</v>
      </c>
      <c r="G28" s="78">
        <f>1687355-1742.5</f>
        <v>1685612.5</v>
      </c>
      <c r="H28" s="78">
        <f>1729538.88-1786.06</f>
        <v>1727752.8199999998</v>
      </c>
    </row>
    <row r="29" spans="1:8" x14ac:dyDescent="0.25">
      <c r="A29" s="12"/>
      <c r="B29" s="12">
        <v>32</v>
      </c>
      <c r="C29" s="12" t="s">
        <v>22</v>
      </c>
      <c r="D29" s="77">
        <f>1448343.46/7.5345</f>
        <v>192228.2115601566</v>
      </c>
      <c r="E29" s="77">
        <v>267114.78000000003</v>
      </c>
      <c r="F29" s="78">
        <f>196512.34+1700+41800-2000+5506</f>
        <v>243518.34</v>
      </c>
      <c r="G29" s="78">
        <f>201425.15+1742.5+42845-1025-1025</f>
        <v>243962.65</v>
      </c>
      <c r="H29" s="78">
        <f>206460.83+1786.06+43916.15-1050.63-1050.63</f>
        <v>250061.77999999997</v>
      </c>
    </row>
    <row r="30" spans="1:8" ht="38.25" x14ac:dyDescent="0.25">
      <c r="A30" s="12"/>
      <c r="B30" s="16">
        <v>37</v>
      </c>
      <c r="C30" s="26" t="s">
        <v>80</v>
      </c>
      <c r="D30" s="77">
        <f>8434.94/7.5345</f>
        <v>1119.5089256088659</v>
      </c>
      <c r="E30" s="77"/>
      <c r="F30" s="77"/>
      <c r="G30" s="77"/>
      <c r="H30" s="77"/>
    </row>
    <row r="31" spans="1:8" ht="15" customHeight="1" x14ac:dyDescent="0.25">
      <c r="A31" s="12"/>
      <c r="B31" s="16">
        <v>38</v>
      </c>
      <c r="C31" s="16" t="s">
        <v>81</v>
      </c>
      <c r="D31" s="77">
        <f>1500/7.5345</f>
        <v>199.08421262193906</v>
      </c>
      <c r="E31" s="77">
        <v>1427.2</v>
      </c>
      <c r="F31" s="77"/>
      <c r="G31" s="77"/>
      <c r="H31" s="77"/>
    </row>
    <row r="32" spans="1:8" ht="25.5" x14ac:dyDescent="0.25">
      <c r="A32" s="14">
        <v>4</v>
      </c>
      <c r="B32" s="15"/>
      <c r="C32" s="25" t="s">
        <v>12</v>
      </c>
      <c r="D32" s="79">
        <f>SUM(D33:D35)</f>
        <v>35006.752936492136</v>
      </c>
      <c r="E32" s="79">
        <f>SUM(E33:E35)</f>
        <v>4800</v>
      </c>
      <c r="F32" s="79">
        <f t="shared" ref="F32:H32" si="6">SUM(F33:F35)</f>
        <v>2000</v>
      </c>
      <c r="G32" s="79">
        <f t="shared" si="6"/>
        <v>2050</v>
      </c>
      <c r="H32" s="79">
        <f t="shared" si="6"/>
        <v>2101.2600000000002</v>
      </c>
    </row>
    <row r="33" spans="1:8" ht="38.25" x14ac:dyDescent="0.25">
      <c r="A33" s="16"/>
      <c r="B33" s="16">
        <v>41</v>
      </c>
      <c r="C33" s="26" t="s">
        <v>13</v>
      </c>
      <c r="D33" s="77">
        <v>0</v>
      </c>
      <c r="E33" s="77">
        <v>0</v>
      </c>
      <c r="F33" s="77"/>
      <c r="G33" s="77"/>
      <c r="H33" s="77"/>
    </row>
    <row r="34" spans="1:8" ht="38.25" x14ac:dyDescent="0.25">
      <c r="A34" s="12"/>
      <c r="B34" s="16">
        <v>42</v>
      </c>
      <c r="C34" s="26" t="s">
        <v>30</v>
      </c>
      <c r="D34" s="77">
        <f>263758.38/7.5345</f>
        <v>35006.752936492136</v>
      </c>
      <c r="E34" s="77">
        <f>1500+2000+1300</f>
        <v>4800</v>
      </c>
      <c r="F34" s="77">
        <v>2000</v>
      </c>
      <c r="G34" s="77">
        <f>1025+1025</f>
        <v>2050</v>
      </c>
      <c r="H34" s="77">
        <f>1050.63+1050.63</f>
        <v>2101.2600000000002</v>
      </c>
    </row>
    <row r="35" spans="1:8" ht="25.5" x14ac:dyDescent="0.25">
      <c r="A35" s="12"/>
      <c r="B35" s="16">
        <v>45</v>
      </c>
      <c r="C35" s="60" t="s">
        <v>82</v>
      </c>
      <c r="D35" s="77"/>
      <c r="E35" s="77"/>
      <c r="F35" s="77"/>
      <c r="G35" s="77"/>
      <c r="H35" s="77"/>
    </row>
    <row r="37" spans="1:8" x14ac:dyDescent="0.25">
      <c r="D37" s="86"/>
      <c r="E37" s="86"/>
      <c r="F37" s="86"/>
      <c r="G37" s="86"/>
      <c r="H37" s="86"/>
    </row>
  </sheetData>
  <mergeCells count="5">
    <mergeCell ref="A23:H23"/>
    <mergeCell ref="A1:H1"/>
    <mergeCell ref="A3:H3"/>
    <mergeCell ref="A5:H5"/>
    <mergeCell ref="A7:H7"/>
  </mergeCells>
  <pageMargins left="0.7" right="0.7" top="0.75" bottom="0.75" header="0.3" footer="0.3"/>
  <pageSetup paperSize="9" scale="5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opLeftCell="A16" workbookViewId="0">
      <selection activeCell="C46" sqref="C46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91" t="s">
        <v>32</v>
      </c>
      <c r="B1" s="91"/>
      <c r="C1" s="91"/>
      <c r="D1" s="91"/>
      <c r="E1" s="91"/>
      <c r="F1" s="91"/>
    </row>
    <row r="2" spans="1:6" ht="18" customHeight="1" x14ac:dyDescent="0.25">
      <c r="A2" s="24"/>
      <c r="B2" s="24"/>
      <c r="C2" s="24"/>
      <c r="D2" s="24"/>
      <c r="E2" s="24"/>
      <c r="F2" s="24"/>
    </row>
    <row r="3" spans="1:6" ht="15.75" customHeight="1" x14ac:dyDescent="0.25">
      <c r="A3" s="91" t="s">
        <v>19</v>
      </c>
      <c r="B3" s="91"/>
      <c r="C3" s="91"/>
      <c r="D3" s="91"/>
      <c r="E3" s="91"/>
      <c r="F3" s="91"/>
    </row>
    <row r="4" spans="1:6" ht="18" x14ac:dyDescent="0.25">
      <c r="B4" s="24"/>
      <c r="C4" s="24"/>
      <c r="D4" s="24"/>
      <c r="E4" s="5"/>
      <c r="F4" s="5"/>
    </row>
    <row r="5" spans="1:6" ht="18" customHeight="1" x14ac:dyDescent="0.25">
      <c r="A5" s="91" t="s">
        <v>4</v>
      </c>
      <c r="B5" s="91"/>
      <c r="C5" s="91"/>
      <c r="D5" s="91"/>
      <c r="E5" s="91"/>
      <c r="F5" s="91"/>
    </row>
    <row r="6" spans="1:6" ht="18" x14ac:dyDescent="0.25">
      <c r="A6" s="24"/>
      <c r="B6" s="24"/>
      <c r="C6" s="24"/>
      <c r="D6" s="24"/>
      <c r="E6" s="5"/>
      <c r="F6" s="5"/>
    </row>
    <row r="7" spans="1:6" ht="15.75" customHeight="1" x14ac:dyDescent="0.25">
      <c r="A7" s="91" t="s">
        <v>51</v>
      </c>
      <c r="B7" s="91"/>
      <c r="C7" s="91"/>
      <c r="D7" s="91"/>
      <c r="E7" s="91"/>
      <c r="F7" s="91"/>
    </row>
    <row r="8" spans="1:6" ht="18" x14ac:dyDescent="0.25">
      <c r="A8" s="24"/>
      <c r="B8" s="24"/>
      <c r="C8" s="24"/>
      <c r="D8" s="24"/>
      <c r="E8" s="5"/>
      <c r="F8" s="5"/>
    </row>
    <row r="9" spans="1:6" ht="25.5" x14ac:dyDescent="0.25">
      <c r="A9" s="20" t="s">
        <v>53</v>
      </c>
      <c r="B9" s="19" t="s">
        <v>35</v>
      </c>
      <c r="C9" s="20" t="s">
        <v>36</v>
      </c>
      <c r="D9" s="20" t="s">
        <v>33</v>
      </c>
      <c r="E9" s="20" t="s">
        <v>27</v>
      </c>
      <c r="F9" s="20" t="s">
        <v>34</v>
      </c>
    </row>
    <row r="10" spans="1:6" x14ac:dyDescent="0.25">
      <c r="A10" s="38" t="s">
        <v>0</v>
      </c>
      <c r="B10" s="81">
        <f>B11+B15+B17+B21+B25</f>
        <v>1711064.6784789967</v>
      </c>
      <c r="C10" s="81">
        <f t="shared" ref="C10:F10" si="0">C11+C15+C17+C21+C25</f>
        <v>1768341.98</v>
      </c>
      <c r="D10" s="81">
        <f t="shared" si="0"/>
        <v>1890018.34</v>
      </c>
      <c r="E10" s="81">
        <f t="shared" si="0"/>
        <v>1931625.15</v>
      </c>
      <c r="F10" s="81">
        <f t="shared" si="0"/>
        <v>1979915.8599999999</v>
      </c>
    </row>
    <row r="11" spans="1:6" ht="15.75" customHeight="1" x14ac:dyDescent="0.25">
      <c r="A11" s="11" t="s">
        <v>55</v>
      </c>
      <c r="B11" s="79">
        <f>B12+B13+B14</f>
        <v>41794.319463799853</v>
      </c>
      <c r="C11" s="79">
        <f>C12+C13+C14</f>
        <v>0</v>
      </c>
      <c r="D11" s="77">
        <f t="shared" ref="D11:F11" si="1">D12+D13+D14</f>
        <v>0</v>
      </c>
      <c r="E11" s="77">
        <f t="shared" si="1"/>
        <v>0</v>
      </c>
      <c r="F11" s="77">
        <f t="shared" si="1"/>
        <v>0</v>
      </c>
    </row>
    <row r="12" spans="1:6" s="61" customFormat="1" x14ac:dyDescent="0.25">
      <c r="A12" s="13" t="s">
        <v>56</v>
      </c>
      <c r="B12" s="75">
        <f>133677.39/7.5345</f>
        <v>17742.038622337248</v>
      </c>
      <c r="C12" s="75"/>
      <c r="D12" s="75"/>
      <c r="E12" s="75"/>
      <c r="F12" s="75"/>
    </row>
    <row r="13" spans="1:6" s="61" customFormat="1" x14ac:dyDescent="0.25">
      <c r="A13" s="13" t="s">
        <v>83</v>
      </c>
      <c r="B13" s="75">
        <f>157368.53/7.5345</f>
        <v>20886.393257681331</v>
      </c>
      <c r="C13" s="75"/>
      <c r="D13" s="75"/>
      <c r="E13" s="75"/>
      <c r="F13" s="75"/>
    </row>
    <row r="14" spans="1:6" s="61" customFormat="1" ht="25.5" x14ac:dyDescent="0.25">
      <c r="A14" s="17" t="s">
        <v>84</v>
      </c>
      <c r="B14" s="75">
        <f>23853.38/7.5345</f>
        <v>3165.887583781273</v>
      </c>
      <c r="C14" s="75"/>
      <c r="D14" s="75"/>
      <c r="E14" s="75"/>
      <c r="F14" s="75"/>
    </row>
    <row r="15" spans="1:6" x14ac:dyDescent="0.25">
      <c r="A15" s="11" t="s">
        <v>57</v>
      </c>
      <c r="B15" s="79">
        <f>B16</f>
        <v>4239.1665007631564</v>
      </c>
      <c r="C15" s="79">
        <f>C16</f>
        <v>3000</v>
      </c>
      <c r="D15" s="77">
        <f t="shared" ref="D15:F15" si="2">D16</f>
        <v>3000</v>
      </c>
      <c r="E15" s="77">
        <f t="shared" si="2"/>
        <v>3075</v>
      </c>
      <c r="F15" s="77">
        <f t="shared" si="2"/>
        <v>3151.88</v>
      </c>
    </row>
    <row r="16" spans="1:6" s="61" customFormat="1" x14ac:dyDescent="0.25">
      <c r="A16" s="13" t="s">
        <v>85</v>
      </c>
      <c r="B16" s="75">
        <f>31940/7.5345</f>
        <v>4239.1665007631564</v>
      </c>
      <c r="C16" s="75">
        <v>3000</v>
      </c>
      <c r="D16" s="75">
        <v>3000</v>
      </c>
      <c r="E16" s="75">
        <v>3075</v>
      </c>
      <c r="F16" s="75">
        <v>3151.88</v>
      </c>
    </row>
    <row r="17" spans="1:6" ht="25.5" x14ac:dyDescent="0.25">
      <c r="A17" s="11" t="s">
        <v>86</v>
      </c>
      <c r="B17" s="79">
        <f>B18+B19+B20</f>
        <v>163475.44097153094</v>
      </c>
      <c r="C17" s="79">
        <f>C18+C19+C20</f>
        <v>222053.38</v>
      </c>
      <c r="D17" s="77">
        <f t="shared" ref="D17:F17" si="3">D18+D19+D20</f>
        <v>205112.34</v>
      </c>
      <c r="E17" s="77">
        <f t="shared" si="3"/>
        <v>210240.15</v>
      </c>
      <c r="F17" s="77">
        <f t="shared" si="3"/>
        <v>215496.21</v>
      </c>
    </row>
    <row r="18" spans="1:6" s="61" customFormat="1" ht="25.5" x14ac:dyDescent="0.25">
      <c r="A18" s="17" t="s">
        <v>87</v>
      </c>
      <c r="B18" s="75">
        <f>11674.44/7.5345</f>
        <v>1549.4644634680469</v>
      </c>
      <c r="C18" s="75">
        <v>600</v>
      </c>
      <c r="D18" s="75">
        <v>600</v>
      </c>
      <c r="E18" s="75">
        <v>615</v>
      </c>
      <c r="F18" s="75">
        <v>630.38</v>
      </c>
    </row>
    <row r="19" spans="1:6" s="61" customFormat="1" x14ac:dyDescent="0.25">
      <c r="A19" s="17" t="s">
        <v>88</v>
      </c>
      <c r="B19" s="75">
        <f>103547.03/7.5345</f>
        <v>13743.052624593536</v>
      </c>
      <c r="C19" s="75">
        <v>30664.7</v>
      </c>
      <c r="D19" s="75">
        <v>8000</v>
      </c>
      <c r="E19" s="75">
        <v>8200</v>
      </c>
      <c r="F19" s="75">
        <v>8405</v>
      </c>
    </row>
    <row r="20" spans="1:6" s="61" customFormat="1" ht="25.5" x14ac:dyDescent="0.25">
      <c r="A20" s="17" t="s">
        <v>89</v>
      </c>
      <c r="B20" s="75">
        <f>1116484.24/7.5345</f>
        <v>148182.92388346937</v>
      </c>
      <c r="C20" s="75">
        <v>190788.68</v>
      </c>
      <c r="D20" s="75">
        <v>196512.34</v>
      </c>
      <c r="E20" s="75">
        <v>201425.15</v>
      </c>
      <c r="F20" s="75">
        <v>206460.83</v>
      </c>
    </row>
    <row r="21" spans="1:6" x14ac:dyDescent="0.25">
      <c r="A21" s="11" t="s">
        <v>54</v>
      </c>
      <c r="B21" s="79">
        <f>B22+B23+B24</f>
        <v>1491151.8348928264</v>
      </c>
      <c r="C21" s="79">
        <f>C22+C23+C24</f>
        <v>1539288.5999999999</v>
      </c>
      <c r="D21" s="77">
        <f t="shared" ref="D21:F21" si="4">D22+D23+D24</f>
        <v>1681906</v>
      </c>
      <c r="E21" s="77">
        <f t="shared" si="4"/>
        <v>1718310</v>
      </c>
      <c r="F21" s="77">
        <f t="shared" si="4"/>
        <v>1761267.7699999998</v>
      </c>
    </row>
    <row r="22" spans="1:6" s="61" customFormat="1" x14ac:dyDescent="0.25">
      <c r="A22" s="13" t="s">
        <v>90</v>
      </c>
      <c r="B22" s="75">
        <f>11011285.2/7.5345</f>
        <v>1461448.6959984072</v>
      </c>
      <c r="C22" s="75">
        <f>1496700+41161.4+1427.2</f>
        <v>1539288.5999999999</v>
      </c>
      <c r="D22" s="75">
        <f>29200+1646200+1000</f>
        <v>1676400</v>
      </c>
      <c r="E22" s="75">
        <f>29930+1687355+1025</f>
        <v>1718310</v>
      </c>
      <c r="F22" s="75">
        <f>30678.26+1729538.88+1050.63</f>
        <v>1761267.7699999998</v>
      </c>
    </row>
    <row r="23" spans="1:6" s="61" customFormat="1" x14ac:dyDescent="0.25">
      <c r="A23" s="13" t="s">
        <v>91</v>
      </c>
      <c r="B23" s="75">
        <f>7500/7.5345</f>
        <v>995.4210631096953</v>
      </c>
      <c r="C23" s="75"/>
      <c r="D23" s="75"/>
      <c r="E23" s="75"/>
      <c r="F23" s="75"/>
    </row>
    <row r="24" spans="1:6" s="61" customFormat="1" ht="25.5" x14ac:dyDescent="0.25">
      <c r="A24" s="17" t="s">
        <v>92</v>
      </c>
      <c r="B24" s="75">
        <f>216298.3/7.5345</f>
        <v>28707.717831309306</v>
      </c>
      <c r="C24" s="75"/>
      <c r="D24" s="75">
        <v>5506</v>
      </c>
      <c r="E24" s="75"/>
      <c r="F24" s="75"/>
    </row>
    <row r="25" spans="1:6" x14ac:dyDescent="0.25">
      <c r="A25" s="11" t="s">
        <v>93</v>
      </c>
      <c r="B25" s="79">
        <f>B26</f>
        <v>10403.916650076315</v>
      </c>
      <c r="C25" s="79">
        <f>C26</f>
        <v>4000</v>
      </c>
      <c r="D25" s="77">
        <f t="shared" ref="D25:F25" si="5">D26</f>
        <v>0</v>
      </c>
      <c r="E25" s="77">
        <f t="shared" si="5"/>
        <v>0</v>
      </c>
      <c r="F25" s="77">
        <f t="shared" si="5"/>
        <v>0</v>
      </c>
    </row>
    <row r="26" spans="1:6" s="61" customFormat="1" ht="25.5" x14ac:dyDescent="0.25">
      <c r="A26" s="17" t="s">
        <v>94</v>
      </c>
      <c r="B26" s="75">
        <f>78388.31/7.5345</f>
        <v>10403.916650076315</v>
      </c>
      <c r="C26" s="75">
        <v>4000</v>
      </c>
      <c r="D26" s="75"/>
      <c r="E26" s="75"/>
      <c r="F26" s="75"/>
    </row>
    <row r="29" spans="1:6" ht="15.75" customHeight="1" x14ac:dyDescent="0.25">
      <c r="A29" s="91" t="s">
        <v>52</v>
      </c>
      <c r="B29" s="91"/>
      <c r="C29" s="91"/>
      <c r="D29" s="91"/>
      <c r="E29" s="91"/>
      <c r="F29" s="91"/>
    </row>
    <row r="30" spans="1:6" ht="18" x14ac:dyDescent="0.25">
      <c r="A30" s="24"/>
      <c r="B30" s="24"/>
      <c r="C30" s="24"/>
      <c r="D30" s="24"/>
      <c r="E30" s="5"/>
      <c r="F30" s="5"/>
    </row>
    <row r="31" spans="1:6" ht="25.5" x14ac:dyDescent="0.25">
      <c r="A31" s="20" t="s">
        <v>53</v>
      </c>
      <c r="B31" s="19" t="s">
        <v>35</v>
      </c>
      <c r="C31" s="20" t="s">
        <v>36</v>
      </c>
      <c r="D31" s="20" t="s">
        <v>33</v>
      </c>
      <c r="E31" s="20" t="s">
        <v>27</v>
      </c>
      <c r="F31" s="20" t="s">
        <v>34</v>
      </c>
    </row>
    <row r="32" spans="1:6" x14ac:dyDescent="0.25">
      <c r="A32" s="38" t="s">
        <v>1</v>
      </c>
      <c r="B32" s="81">
        <f>B33+B37+B39+B43+B47</f>
        <v>1681130.7558563936</v>
      </c>
      <c r="C32" s="81">
        <f>C33+C37+C39+C43+C47</f>
        <v>1768341.98</v>
      </c>
      <c r="D32" s="81">
        <f t="shared" ref="D32:E32" si="6">D33+D37+D39+D43+D47</f>
        <v>1890018.34</v>
      </c>
      <c r="E32" s="81">
        <f t="shared" si="6"/>
        <v>1931625.15</v>
      </c>
      <c r="F32" s="81">
        <f t="shared" ref="F32" si="7">F33+F37+F39+F43+F47</f>
        <v>1979915.8599999999</v>
      </c>
    </row>
    <row r="33" spans="1:6" x14ac:dyDescent="0.25">
      <c r="A33" s="11" t="s">
        <v>55</v>
      </c>
      <c r="B33" s="79">
        <f>B34+B35+B36</f>
        <v>41794.319463799853</v>
      </c>
      <c r="C33" s="79">
        <f>C34+C35+C36</f>
        <v>0</v>
      </c>
      <c r="D33" s="77">
        <f t="shared" ref="D33:E33" si="8">D34+D35+D36</f>
        <v>0</v>
      </c>
      <c r="E33" s="77">
        <f t="shared" si="8"/>
        <v>0</v>
      </c>
      <c r="F33" s="77">
        <f t="shared" ref="F33" si="9">F34+F35+F36</f>
        <v>0</v>
      </c>
    </row>
    <row r="34" spans="1:6" s="61" customFormat="1" x14ac:dyDescent="0.25">
      <c r="A34" s="13" t="s">
        <v>56</v>
      </c>
      <c r="B34" s="75">
        <f>133677.39/7.5345</f>
        <v>17742.038622337248</v>
      </c>
      <c r="C34" s="75"/>
      <c r="D34" s="75"/>
      <c r="E34" s="75"/>
      <c r="F34" s="75"/>
    </row>
    <row r="35" spans="1:6" s="61" customFormat="1" x14ac:dyDescent="0.25">
      <c r="A35" s="13" t="s">
        <v>83</v>
      </c>
      <c r="B35" s="75">
        <f>157368.53/7.5345</f>
        <v>20886.393257681331</v>
      </c>
      <c r="C35" s="75"/>
      <c r="D35" s="75"/>
      <c r="E35" s="75"/>
      <c r="F35" s="75"/>
    </row>
    <row r="36" spans="1:6" s="61" customFormat="1" ht="25.5" x14ac:dyDescent="0.25">
      <c r="A36" s="17" t="s">
        <v>84</v>
      </c>
      <c r="B36" s="75">
        <f>23853.38/7.5345</f>
        <v>3165.887583781273</v>
      </c>
      <c r="C36" s="75"/>
      <c r="D36" s="75"/>
      <c r="E36" s="75"/>
      <c r="F36" s="75"/>
    </row>
    <row r="37" spans="1:6" x14ac:dyDescent="0.25">
      <c r="A37" s="11" t="s">
        <v>57</v>
      </c>
      <c r="B37" s="79">
        <f>B38</f>
        <v>1654.0195102528367</v>
      </c>
      <c r="C37" s="79">
        <f>C38</f>
        <v>3000</v>
      </c>
      <c r="D37" s="77">
        <f t="shared" ref="D37:E37" si="10">D38</f>
        <v>3000</v>
      </c>
      <c r="E37" s="77">
        <f t="shared" si="10"/>
        <v>3075</v>
      </c>
      <c r="F37" s="77">
        <f t="shared" ref="F37" si="11">F38</f>
        <v>3151.88</v>
      </c>
    </row>
    <row r="38" spans="1:6" s="61" customFormat="1" x14ac:dyDescent="0.25">
      <c r="A38" s="13" t="s">
        <v>85</v>
      </c>
      <c r="B38" s="75">
        <f>12462.21/7.5345</f>
        <v>1654.0195102528367</v>
      </c>
      <c r="C38" s="75">
        <v>3000</v>
      </c>
      <c r="D38" s="75">
        <v>3000</v>
      </c>
      <c r="E38" s="75">
        <v>3075</v>
      </c>
      <c r="F38" s="75">
        <v>3151.88</v>
      </c>
    </row>
    <row r="39" spans="1:6" ht="25.5" x14ac:dyDescent="0.25">
      <c r="A39" s="11" t="s">
        <v>86</v>
      </c>
      <c r="B39" s="79">
        <f>B40+B41+B42</f>
        <v>161372.70024553718</v>
      </c>
      <c r="C39" s="79">
        <f>C40+C41+C42</f>
        <v>222053.38</v>
      </c>
      <c r="D39" s="77">
        <f t="shared" ref="D39:E39" si="12">D40+D41+D42</f>
        <v>205112.34</v>
      </c>
      <c r="E39" s="77">
        <f t="shared" si="12"/>
        <v>210240.15</v>
      </c>
      <c r="F39" s="77">
        <f t="shared" ref="F39" si="13">F40+F41+F42</f>
        <v>215496.21</v>
      </c>
    </row>
    <row r="40" spans="1:6" s="61" customFormat="1" ht="25.5" x14ac:dyDescent="0.25">
      <c r="A40" s="17" t="s">
        <v>87</v>
      </c>
      <c r="B40" s="75">
        <f>933.75/7.5345</f>
        <v>123.92992235715707</v>
      </c>
      <c r="C40" s="75">
        <v>600</v>
      </c>
      <c r="D40" s="75">
        <v>600</v>
      </c>
      <c r="E40" s="75">
        <v>615</v>
      </c>
      <c r="F40" s="75">
        <v>630.38</v>
      </c>
    </row>
    <row r="41" spans="1:6" s="61" customFormat="1" x14ac:dyDescent="0.25">
      <c r="A41" s="17" t="s">
        <v>88</v>
      </c>
      <c r="B41" s="75">
        <f>98444.62/7.5345</f>
        <v>13065.846439710664</v>
      </c>
      <c r="C41" s="75">
        <v>30664.7</v>
      </c>
      <c r="D41" s="75">
        <v>8000</v>
      </c>
      <c r="E41" s="75">
        <v>8200</v>
      </c>
      <c r="F41" s="75">
        <v>8405</v>
      </c>
    </row>
    <row r="42" spans="1:6" s="61" customFormat="1" ht="25.5" x14ac:dyDescent="0.25">
      <c r="A42" s="17" t="s">
        <v>89</v>
      </c>
      <c r="B42" s="75">
        <f>1116484.24/7.5345</f>
        <v>148182.92388346937</v>
      </c>
      <c r="C42" s="75">
        <v>190788.68</v>
      </c>
      <c r="D42" s="75">
        <v>196512.34</v>
      </c>
      <c r="E42" s="75">
        <v>201425.15</v>
      </c>
      <c r="F42" s="75">
        <v>206460.83</v>
      </c>
    </row>
    <row r="43" spans="1:6" x14ac:dyDescent="0.25">
      <c r="A43" s="11" t="s">
        <v>54</v>
      </c>
      <c r="B43" s="79">
        <f>B44+B45+B46</f>
        <v>1466701.567456367</v>
      </c>
      <c r="C43" s="79">
        <f>C44+C45+C46</f>
        <v>1539288.5999999999</v>
      </c>
      <c r="D43" s="77">
        <f t="shared" ref="D43:E43" si="14">D44+D45+D46</f>
        <v>1681906</v>
      </c>
      <c r="E43" s="77">
        <f t="shared" si="14"/>
        <v>1718310</v>
      </c>
      <c r="F43" s="77">
        <f t="shared" ref="F43" si="15">F44+F45+F46</f>
        <v>1761267.7699999998</v>
      </c>
    </row>
    <row r="44" spans="1:6" s="61" customFormat="1" x14ac:dyDescent="0.25">
      <c r="A44" s="13" t="s">
        <v>90</v>
      </c>
      <c r="B44" s="75">
        <f>10961714.62/7.5345</f>
        <v>1454869.5494060651</v>
      </c>
      <c r="C44" s="75">
        <f>1496700+41161.4+1427.2</f>
        <v>1539288.5999999999</v>
      </c>
      <c r="D44" s="75">
        <f>29200+1646200+1000</f>
        <v>1676400</v>
      </c>
      <c r="E44" s="75">
        <f>29930+1687355+1025</f>
        <v>1718310</v>
      </c>
      <c r="F44" s="75">
        <f>30678.26+1729538.88+1050.63</f>
        <v>1761267.7699999998</v>
      </c>
    </row>
    <row r="45" spans="1:6" s="61" customFormat="1" x14ac:dyDescent="0.25">
      <c r="A45" s="13" t="s">
        <v>91</v>
      </c>
      <c r="B45" s="75">
        <f>7106.69/7.5345</f>
        <v>943.21985533213876</v>
      </c>
      <c r="C45" s="75"/>
      <c r="D45" s="75"/>
      <c r="E45" s="75"/>
      <c r="F45" s="75"/>
    </row>
    <row r="46" spans="1:6" s="61" customFormat="1" ht="25.5" x14ac:dyDescent="0.25">
      <c r="A46" s="17" t="s">
        <v>92</v>
      </c>
      <c r="B46" s="75">
        <f>82041.65/7.5345</f>
        <v>10888.798194969804</v>
      </c>
      <c r="C46" s="75"/>
      <c r="D46" s="75">
        <v>5506</v>
      </c>
      <c r="E46" s="75"/>
      <c r="F46" s="75"/>
    </row>
    <row r="47" spans="1:6" ht="15.75" customHeight="1" x14ac:dyDescent="0.25">
      <c r="A47" s="11" t="s">
        <v>93</v>
      </c>
      <c r="B47" s="79">
        <f>B48</f>
        <v>9608.1491804366578</v>
      </c>
      <c r="C47" s="79">
        <f>C48</f>
        <v>4000</v>
      </c>
      <c r="D47" s="77">
        <f t="shared" ref="D47:E47" si="16">D48</f>
        <v>0</v>
      </c>
      <c r="E47" s="77">
        <f t="shared" si="16"/>
        <v>0</v>
      </c>
      <c r="F47" s="77">
        <f t="shared" ref="F47" si="17">F48</f>
        <v>0</v>
      </c>
    </row>
    <row r="48" spans="1:6" s="61" customFormat="1" ht="25.5" x14ac:dyDescent="0.25">
      <c r="A48" s="17" t="s">
        <v>94</v>
      </c>
      <c r="B48" s="75">
        <f>72392.6/7.5345</f>
        <v>9608.1491804366578</v>
      </c>
      <c r="C48" s="75">
        <v>4000</v>
      </c>
      <c r="D48" s="75"/>
      <c r="E48" s="75"/>
      <c r="F48" s="75"/>
    </row>
  </sheetData>
  <mergeCells count="5">
    <mergeCell ref="A29:F29"/>
    <mergeCell ref="A1:F1"/>
    <mergeCell ref="A3:F3"/>
    <mergeCell ref="A5:F5"/>
    <mergeCell ref="A7:F7"/>
  </mergeCells>
  <pageMargins left="0.7" right="0.7" top="0.75" bottom="0.75" header="0.3" footer="0.3"/>
  <pageSetup paperSize="9" scale="58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E12" sqref="E12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91" t="s">
        <v>32</v>
      </c>
      <c r="B1" s="91"/>
      <c r="C1" s="91"/>
      <c r="D1" s="91"/>
      <c r="E1" s="91"/>
      <c r="F1" s="91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91" t="s">
        <v>19</v>
      </c>
      <c r="B3" s="91"/>
      <c r="C3" s="91"/>
      <c r="D3" s="91"/>
      <c r="E3" s="104"/>
      <c r="F3" s="104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91" t="s">
        <v>4</v>
      </c>
      <c r="B5" s="92"/>
      <c r="C5" s="92"/>
      <c r="D5" s="92"/>
      <c r="E5" s="92"/>
      <c r="F5" s="92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91" t="s">
        <v>14</v>
      </c>
      <c r="B7" s="110"/>
      <c r="C7" s="110"/>
      <c r="D7" s="110"/>
      <c r="E7" s="110"/>
      <c r="F7" s="110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0" t="s">
        <v>53</v>
      </c>
      <c r="B9" s="19" t="s">
        <v>35</v>
      </c>
      <c r="C9" s="20" t="s">
        <v>36</v>
      </c>
      <c r="D9" s="20" t="s">
        <v>33</v>
      </c>
      <c r="E9" s="20" t="s">
        <v>27</v>
      </c>
      <c r="F9" s="20" t="s">
        <v>34</v>
      </c>
    </row>
    <row r="10" spans="1:6" ht="15.75" customHeight="1" x14ac:dyDescent="0.25">
      <c r="A10" s="11" t="s">
        <v>15</v>
      </c>
      <c r="B10" s="79">
        <f>B11</f>
        <v>1681130.7558563938</v>
      </c>
      <c r="C10" s="79">
        <f t="shared" ref="C10:F10" si="0">C11</f>
        <v>1768341.98</v>
      </c>
      <c r="D10" s="79">
        <f t="shared" si="0"/>
        <v>1890018.34</v>
      </c>
      <c r="E10" s="79">
        <f t="shared" si="0"/>
        <v>1931625.15</v>
      </c>
      <c r="F10" s="79">
        <f t="shared" si="0"/>
        <v>1979915.86</v>
      </c>
    </row>
    <row r="11" spans="1:6" x14ac:dyDescent="0.25">
      <c r="A11" s="11" t="s">
        <v>95</v>
      </c>
      <c r="B11" s="79">
        <f>B12</f>
        <v>1681130.7558563938</v>
      </c>
      <c r="C11" s="79">
        <f>C12</f>
        <v>1768341.98</v>
      </c>
      <c r="D11" s="79">
        <f t="shared" ref="D11:F11" si="1">D12</f>
        <v>1890018.34</v>
      </c>
      <c r="E11" s="79">
        <f t="shared" si="1"/>
        <v>1931625.15</v>
      </c>
      <c r="F11" s="79">
        <f t="shared" si="1"/>
        <v>1979915.86</v>
      </c>
    </row>
    <row r="12" spans="1:6" s="61" customFormat="1" x14ac:dyDescent="0.25">
      <c r="A12" s="18" t="s">
        <v>96</v>
      </c>
      <c r="B12" s="75">
        <f>12666479.68/7.5345</f>
        <v>1681130.7558563938</v>
      </c>
      <c r="C12" s="76">
        <v>1768341.98</v>
      </c>
      <c r="D12" s="76">
        <v>1890018.34</v>
      </c>
      <c r="E12" s="76">
        <v>1931625.15</v>
      </c>
      <c r="F12" s="80">
        <v>1979915.86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81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E7" sqref="E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91" t="s">
        <v>32</v>
      </c>
      <c r="B1" s="91"/>
      <c r="C1" s="91"/>
      <c r="D1" s="91"/>
      <c r="E1" s="91"/>
      <c r="F1" s="91"/>
      <c r="G1" s="91"/>
      <c r="H1" s="91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91" t="s">
        <v>19</v>
      </c>
      <c r="B3" s="91"/>
      <c r="C3" s="91"/>
      <c r="D3" s="91"/>
      <c r="E3" s="91"/>
      <c r="F3" s="91"/>
      <c r="G3" s="91"/>
      <c r="H3" s="91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91" t="s">
        <v>59</v>
      </c>
      <c r="B5" s="91"/>
      <c r="C5" s="91"/>
      <c r="D5" s="91"/>
      <c r="E5" s="91"/>
      <c r="F5" s="91"/>
      <c r="G5" s="91"/>
      <c r="H5" s="91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20" t="s">
        <v>5</v>
      </c>
      <c r="B7" s="19" t="s">
        <v>6</v>
      </c>
      <c r="C7" s="19" t="s">
        <v>31</v>
      </c>
      <c r="D7" s="19" t="s">
        <v>35</v>
      </c>
      <c r="E7" s="20" t="s">
        <v>36</v>
      </c>
      <c r="F7" s="20" t="s">
        <v>33</v>
      </c>
      <c r="G7" s="20" t="s">
        <v>27</v>
      </c>
      <c r="H7" s="20" t="s">
        <v>34</v>
      </c>
    </row>
    <row r="8" spans="1:8" x14ac:dyDescent="0.25">
      <c r="A8" s="36"/>
      <c r="B8" s="37"/>
      <c r="C8" s="35" t="s">
        <v>61</v>
      </c>
      <c r="D8" s="37"/>
      <c r="E8" s="36"/>
      <c r="F8" s="36"/>
      <c r="G8" s="36"/>
      <c r="H8" s="36"/>
    </row>
    <row r="9" spans="1:8" ht="25.5" x14ac:dyDescent="0.25">
      <c r="A9" s="11">
        <v>8</v>
      </c>
      <c r="B9" s="11"/>
      <c r="C9" s="11" t="s">
        <v>16</v>
      </c>
      <c r="D9" s="8"/>
      <c r="E9" s="9"/>
      <c r="F9" s="9"/>
      <c r="G9" s="9"/>
      <c r="H9" s="9"/>
    </row>
    <row r="10" spans="1:8" x14ac:dyDescent="0.25">
      <c r="A10" s="11"/>
      <c r="B10" s="16">
        <v>84</v>
      </c>
      <c r="C10" s="16" t="s">
        <v>23</v>
      </c>
      <c r="D10" s="8"/>
      <c r="E10" s="9"/>
      <c r="F10" s="9"/>
      <c r="G10" s="9"/>
      <c r="H10" s="9"/>
    </row>
    <row r="11" spans="1:8" x14ac:dyDescent="0.25">
      <c r="A11" s="11"/>
      <c r="B11" s="16"/>
      <c r="C11" s="39"/>
      <c r="D11" s="8"/>
      <c r="E11" s="9"/>
      <c r="F11" s="9"/>
      <c r="G11" s="9"/>
      <c r="H11" s="9"/>
    </row>
    <row r="12" spans="1:8" x14ac:dyDescent="0.25">
      <c r="A12" s="11"/>
      <c r="B12" s="16"/>
      <c r="C12" s="35" t="s">
        <v>64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5"/>
      <c r="C13" s="25" t="s">
        <v>17</v>
      </c>
      <c r="D13" s="8"/>
      <c r="E13" s="9"/>
      <c r="F13" s="9"/>
      <c r="G13" s="9"/>
      <c r="H13" s="9"/>
    </row>
    <row r="14" spans="1:8" ht="25.5" x14ac:dyDescent="0.25">
      <c r="A14" s="16"/>
      <c r="B14" s="16">
        <v>54</v>
      </c>
      <c r="C14" s="26" t="s">
        <v>24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activeCell="D21" sqref="D21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91" t="s">
        <v>32</v>
      </c>
      <c r="B1" s="91"/>
      <c r="C1" s="91"/>
      <c r="D1" s="91"/>
      <c r="E1" s="91"/>
      <c r="F1" s="91"/>
    </row>
    <row r="2" spans="1:6" ht="18" customHeight="1" x14ac:dyDescent="0.25">
      <c r="A2" s="24"/>
      <c r="B2" s="24"/>
      <c r="C2" s="24"/>
      <c r="D2" s="24"/>
      <c r="E2" s="24"/>
      <c r="F2" s="24"/>
    </row>
    <row r="3" spans="1:6" ht="15.75" customHeight="1" x14ac:dyDescent="0.25">
      <c r="A3" s="91" t="s">
        <v>19</v>
      </c>
      <c r="B3" s="91"/>
      <c r="C3" s="91"/>
      <c r="D3" s="91"/>
      <c r="E3" s="91"/>
      <c r="F3" s="91"/>
    </row>
    <row r="4" spans="1:6" ht="18" x14ac:dyDescent="0.25">
      <c r="A4" s="24"/>
      <c r="B4" s="24"/>
      <c r="C4" s="24"/>
      <c r="D4" s="24"/>
      <c r="E4" s="5"/>
      <c r="F4" s="5"/>
    </row>
    <row r="5" spans="1:6" ht="18" customHeight="1" x14ac:dyDescent="0.25">
      <c r="A5" s="91" t="s">
        <v>60</v>
      </c>
      <c r="B5" s="91"/>
      <c r="C5" s="91"/>
      <c r="D5" s="91"/>
      <c r="E5" s="91"/>
      <c r="F5" s="91"/>
    </row>
    <row r="6" spans="1:6" ht="18" x14ac:dyDescent="0.25">
      <c r="A6" s="24"/>
      <c r="B6" s="24"/>
      <c r="C6" s="24"/>
      <c r="D6" s="24"/>
      <c r="E6" s="5"/>
      <c r="F6" s="5"/>
    </row>
    <row r="7" spans="1:6" ht="25.5" x14ac:dyDescent="0.25">
      <c r="A7" s="19" t="s">
        <v>53</v>
      </c>
      <c r="B7" s="19" t="s">
        <v>35</v>
      </c>
      <c r="C7" s="20" t="s">
        <v>36</v>
      </c>
      <c r="D7" s="20" t="s">
        <v>33</v>
      </c>
      <c r="E7" s="20" t="s">
        <v>27</v>
      </c>
      <c r="F7" s="20" t="s">
        <v>34</v>
      </c>
    </row>
    <row r="8" spans="1:6" x14ac:dyDescent="0.25">
      <c r="A8" s="11" t="s">
        <v>61</v>
      </c>
      <c r="B8" s="8"/>
      <c r="C8" s="9"/>
      <c r="D8" s="9"/>
      <c r="E8" s="9"/>
      <c r="F8" s="9"/>
    </row>
    <row r="9" spans="1:6" ht="25.5" x14ac:dyDescent="0.25">
      <c r="A9" s="11" t="s">
        <v>62</v>
      </c>
      <c r="B9" s="8"/>
      <c r="C9" s="9"/>
      <c r="D9" s="9"/>
      <c r="E9" s="9"/>
      <c r="F9" s="9"/>
    </row>
    <row r="10" spans="1:6" ht="25.5" x14ac:dyDescent="0.25">
      <c r="A10" s="17" t="s">
        <v>63</v>
      </c>
      <c r="B10" s="8"/>
      <c r="C10" s="9"/>
      <c r="D10" s="9"/>
      <c r="E10" s="9"/>
      <c r="F10" s="9"/>
    </row>
    <row r="11" spans="1:6" x14ac:dyDescent="0.25">
      <c r="A11" s="17"/>
      <c r="B11" s="8"/>
      <c r="C11" s="9"/>
      <c r="D11" s="9"/>
      <c r="E11" s="9"/>
      <c r="F11" s="9"/>
    </row>
    <row r="12" spans="1:6" x14ac:dyDescent="0.25">
      <c r="A12" s="11" t="s">
        <v>64</v>
      </c>
      <c r="B12" s="8"/>
      <c r="C12" s="9"/>
      <c r="D12" s="9"/>
      <c r="E12" s="9"/>
      <c r="F12" s="9"/>
    </row>
    <row r="13" spans="1:6" x14ac:dyDescent="0.25">
      <c r="A13" s="25" t="s">
        <v>55</v>
      </c>
      <c r="B13" s="8"/>
      <c r="C13" s="9"/>
      <c r="D13" s="9"/>
      <c r="E13" s="9"/>
      <c r="F13" s="9"/>
    </row>
    <row r="14" spans="1:6" x14ac:dyDescent="0.25">
      <c r="A14" s="13" t="s">
        <v>56</v>
      </c>
      <c r="B14" s="8"/>
      <c r="C14" s="9"/>
      <c r="D14" s="9"/>
      <c r="E14" s="9"/>
      <c r="F14" s="10"/>
    </row>
    <row r="15" spans="1:6" x14ac:dyDescent="0.25">
      <c r="A15" s="25" t="s">
        <v>57</v>
      </c>
      <c r="B15" s="8"/>
      <c r="C15" s="9"/>
      <c r="D15" s="9"/>
      <c r="E15" s="9"/>
      <c r="F15" s="10"/>
    </row>
    <row r="16" spans="1:6" x14ac:dyDescent="0.25">
      <c r="A16" s="13" t="s">
        <v>58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3"/>
  <sheetViews>
    <sheetView zoomScaleNormal="100" workbookViewId="0">
      <selection activeCell="A80" sqref="A80:C80"/>
    </sheetView>
  </sheetViews>
  <sheetFormatPr defaultRowHeight="15" x14ac:dyDescent="0.25"/>
  <cols>
    <col min="1" max="1" width="7.42578125" customWidth="1"/>
    <col min="2" max="2" width="8.42578125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91" t="s">
        <v>32</v>
      </c>
      <c r="B1" s="91"/>
      <c r="C1" s="91"/>
      <c r="D1" s="91"/>
      <c r="E1" s="91"/>
      <c r="F1" s="91"/>
      <c r="G1" s="91"/>
      <c r="H1" s="91"/>
      <c r="I1" s="91"/>
    </row>
    <row r="2" spans="1:9" ht="18" x14ac:dyDescent="0.25">
      <c r="A2" s="24"/>
      <c r="B2" s="24"/>
      <c r="C2" s="24"/>
      <c r="D2" s="24"/>
      <c r="E2" s="24"/>
      <c r="F2" s="24"/>
      <c r="G2" s="24"/>
      <c r="H2" s="5"/>
      <c r="I2" s="5"/>
    </row>
    <row r="3" spans="1:9" ht="18" customHeight="1" x14ac:dyDescent="0.25">
      <c r="A3" s="91" t="s">
        <v>18</v>
      </c>
      <c r="B3" s="92"/>
      <c r="C3" s="92"/>
      <c r="D3" s="92"/>
      <c r="E3" s="92"/>
      <c r="F3" s="92"/>
      <c r="G3" s="92"/>
      <c r="H3" s="92"/>
      <c r="I3" s="92"/>
    </row>
    <row r="4" spans="1:9" ht="18" customHeight="1" x14ac:dyDescent="0.25">
      <c r="A4" s="62"/>
      <c r="B4" s="63"/>
      <c r="C4" s="63"/>
      <c r="D4" s="63"/>
      <c r="E4" s="63"/>
      <c r="F4" s="63"/>
      <c r="G4" s="63"/>
      <c r="H4" s="63"/>
      <c r="I4" s="63"/>
    </row>
    <row r="5" spans="1:9" ht="25.5" x14ac:dyDescent="0.25">
      <c r="A5" s="126" t="s">
        <v>20</v>
      </c>
      <c r="B5" s="127"/>
      <c r="C5" s="128"/>
      <c r="D5" s="19" t="s">
        <v>21</v>
      </c>
      <c r="E5" s="19" t="s">
        <v>35</v>
      </c>
      <c r="F5" s="20" t="s">
        <v>36</v>
      </c>
      <c r="G5" s="20" t="s">
        <v>33</v>
      </c>
      <c r="H5" s="20" t="s">
        <v>27</v>
      </c>
      <c r="I5" s="20" t="s">
        <v>34</v>
      </c>
    </row>
    <row r="6" spans="1:9" ht="38.25" x14ac:dyDescent="0.25">
      <c r="A6" s="123" t="s">
        <v>158</v>
      </c>
      <c r="B6" s="124"/>
      <c r="C6" s="125"/>
      <c r="D6" s="67" t="s">
        <v>159</v>
      </c>
      <c r="E6" s="72">
        <f t="shared" ref="E6:I6" si="0">E7</f>
        <v>1681130.7574371225</v>
      </c>
      <c r="F6" s="72">
        <f t="shared" si="0"/>
        <v>1768341.98</v>
      </c>
      <c r="G6" s="72">
        <f t="shared" si="0"/>
        <v>1890018.34</v>
      </c>
      <c r="H6" s="72">
        <f t="shared" si="0"/>
        <v>1931625.15</v>
      </c>
      <c r="I6" s="72">
        <f t="shared" si="0"/>
        <v>1979915.8599999999</v>
      </c>
    </row>
    <row r="7" spans="1:9" ht="25.5" x14ac:dyDescent="0.25">
      <c r="A7" s="123" t="s">
        <v>160</v>
      </c>
      <c r="B7" s="124"/>
      <c r="C7" s="125"/>
      <c r="D7" s="67" t="s">
        <v>161</v>
      </c>
      <c r="E7" s="72">
        <f>E8+E29+E78+E84+E89</f>
        <v>1681130.7574371225</v>
      </c>
      <c r="F7" s="72">
        <f>F8+F29+F78+F84+F89</f>
        <v>1768341.98</v>
      </c>
      <c r="G7" s="72">
        <f t="shared" ref="G7:I7" si="1">G8+G29+G78+G84+G89</f>
        <v>1890018.34</v>
      </c>
      <c r="H7" s="72">
        <f t="shared" si="1"/>
        <v>1931625.15</v>
      </c>
      <c r="I7" s="72">
        <f t="shared" si="1"/>
        <v>1979915.8599999999</v>
      </c>
    </row>
    <row r="8" spans="1:9" ht="25.5" x14ac:dyDescent="0.25">
      <c r="A8" s="123" t="s">
        <v>97</v>
      </c>
      <c r="B8" s="124"/>
      <c r="C8" s="125"/>
      <c r="D8" s="67" t="s">
        <v>98</v>
      </c>
      <c r="E8" s="72">
        <f>E9+E13+E20+E24</f>
        <v>1558934.0195102529</v>
      </c>
      <c r="F8" s="72">
        <f>F9+F13+F20+F24</f>
        <v>1687488.68</v>
      </c>
      <c r="G8" s="72">
        <f t="shared" ref="G8:I8" si="2">G9+G13+G20+G24</f>
        <v>1842712.34</v>
      </c>
      <c r="H8" s="72">
        <f t="shared" si="2"/>
        <v>1888780.15</v>
      </c>
      <c r="I8" s="72">
        <f t="shared" si="2"/>
        <v>1935999.71</v>
      </c>
    </row>
    <row r="9" spans="1:9" x14ac:dyDescent="0.25">
      <c r="A9" s="120" t="s">
        <v>99</v>
      </c>
      <c r="B9" s="121"/>
      <c r="C9" s="122"/>
      <c r="D9" s="68" t="s">
        <v>100</v>
      </c>
      <c r="E9" s="73">
        <f t="shared" ref="E9:I11" si="3">E10</f>
        <v>147601.86342823014</v>
      </c>
      <c r="F9" s="74">
        <f t="shared" si="3"/>
        <v>190788.68</v>
      </c>
      <c r="G9" s="74">
        <f t="shared" si="3"/>
        <v>196512.34</v>
      </c>
      <c r="H9" s="74">
        <f t="shared" si="3"/>
        <v>201425.15</v>
      </c>
      <c r="I9" s="74">
        <f t="shared" si="3"/>
        <v>206460.83</v>
      </c>
    </row>
    <row r="10" spans="1:9" ht="25.5" x14ac:dyDescent="0.25">
      <c r="A10" s="111" t="s">
        <v>101</v>
      </c>
      <c r="B10" s="112"/>
      <c r="C10" s="113"/>
      <c r="D10" s="69" t="s">
        <v>102</v>
      </c>
      <c r="E10" s="75">
        <f t="shared" si="3"/>
        <v>147601.86342823014</v>
      </c>
      <c r="F10" s="76">
        <f t="shared" si="3"/>
        <v>190788.68</v>
      </c>
      <c r="G10" s="76">
        <f t="shared" si="3"/>
        <v>196512.34</v>
      </c>
      <c r="H10" s="76">
        <f t="shared" si="3"/>
        <v>201425.15</v>
      </c>
      <c r="I10" s="76">
        <f t="shared" si="3"/>
        <v>206460.83</v>
      </c>
    </row>
    <row r="11" spans="1:9" x14ac:dyDescent="0.25">
      <c r="A11" s="114">
        <v>3</v>
      </c>
      <c r="B11" s="115"/>
      <c r="C11" s="116"/>
      <c r="D11" s="70" t="s">
        <v>10</v>
      </c>
      <c r="E11" s="77">
        <f t="shared" si="3"/>
        <v>147601.86342823014</v>
      </c>
      <c r="F11" s="78">
        <f t="shared" si="3"/>
        <v>190788.68</v>
      </c>
      <c r="G11" s="78">
        <f t="shared" si="3"/>
        <v>196512.34</v>
      </c>
      <c r="H11" s="78">
        <f t="shared" si="3"/>
        <v>201425.15</v>
      </c>
      <c r="I11" s="78">
        <f t="shared" si="3"/>
        <v>206460.83</v>
      </c>
    </row>
    <row r="12" spans="1:9" x14ac:dyDescent="0.25">
      <c r="A12" s="117">
        <v>32</v>
      </c>
      <c r="B12" s="118"/>
      <c r="C12" s="119"/>
      <c r="D12" s="70" t="s">
        <v>22</v>
      </c>
      <c r="E12" s="77">
        <f>1112106.24/7.5345</f>
        <v>147601.86342823014</v>
      </c>
      <c r="F12" s="78">
        <v>190788.68</v>
      </c>
      <c r="G12" s="78">
        <v>196512.34</v>
      </c>
      <c r="H12" s="78">
        <v>201425.15</v>
      </c>
      <c r="I12" s="78">
        <v>206460.83</v>
      </c>
    </row>
    <row r="13" spans="1:9" x14ac:dyDescent="0.25">
      <c r="A13" s="120" t="s">
        <v>103</v>
      </c>
      <c r="B13" s="121"/>
      <c r="C13" s="122"/>
      <c r="D13" s="68" t="s">
        <v>104</v>
      </c>
      <c r="E13" s="73">
        <f>E14+E17</f>
        <v>20886.393257681331</v>
      </c>
      <c r="F13" s="74">
        <f>F14+F17</f>
        <v>0</v>
      </c>
      <c r="G13" s="74">
        <f t="shared" ref="G13:I13" si="4">G14+G17</f>
        <v>0</v>
      </c>
      <c r="H13" s="74">
        <f t="shared" si="4"/>
        <v>0</v>
      </c>
      <c r="I13" s="74">
        <f t="shared" si="4"/>
        <v>0</v>
      </c>
    </row>
    <row r="14" spans="1:9" x14ac:dyDescent="0.25">
      <c r="A14" s="111" t="s">
        <v>105</v>
      </c>
      <c r="B14" s="112"/>
      <c r="C14" s="113"/>
      <c r="D14" s="69" t="s">
        <v>106</v>
      </c>
      <c r="E14" s="75">
        <f>E15</f>
        <v>20886.393257681331</v>
      </c>
      <c r="F14" s="75">
        <f>F15</f>
        <v>0</v>
      </c>
      <c r="G14" s="75">
        <f t="shared" ref="G14:I15" si="5">G15</f>
        <v>0</v>
      </c>
      <c r="H14" s="75">
        <f t="shared" si="5"/>
        <v>0</v>
      </c>
      <c r="I14" s="75">
        <f t="shared" si="5"/>
        <v>0</v>
      </c>
    </row>
    <row r="15" spans="1:9" ht="25.5" x14ac:dyDescent="0.25">
      <c r="A15" s="114">
        <v>4</v>
      </c>
      <c r="B15" s="115"/>
      <c r="C15" s="116"/>
      <c r="D15" s="70" t="s">
        <v>12</v>
      </c>
      <c r="E15" s="77">
        <f>E16</f>
        <v>20886.393257681331</v>
      </c>
      <c r="F15" s="77">
        <f>F16</f>
        <v>0</v>
      </c>
      <c r="G15" s="77">
        <f t="shared" si="5"/>
        <v>0</v>
      </c>
      <c r="H15" s="77">
        <f t="shared" si="5"/>
        <v>0</v>
      </c>
      <c r="I15" s="77">
        <f t="shared" si="5"/>
        <v>0</v>
      </c>
    </row>
    <row r="16" spans="1:9" ht="25.5" x14ac:dyDescent="0.25">
      <c r="A16" s="117">
        <v>42</v>
      </c>
      <c r="B16" s="118"/>
      <c r="C16" s="119"/>
      <c r="D16" s="70" t="s">
        <v>30</v>
      </c>
      <c r="E16" s="77">
        <f>157368.53/7.5345</f>
        <v>20886.393257681331</v>
      </c>
      <c r="F16" s="77"/>
      <c r="G16" s="77"/>
      <c r="H16" s="77"/>
      <c r="I16" s="77"/>
    </row>
    <row r="17" spans="1:9" ht="25.5" customHeight="1" x14ac:dyDescent="0.25">
      <c r="A17" s="111" t="s">
        <v>101</v>
      </c>
      <c r="B17" s="112"/>
      <c r="C17" s="113"/>
      <c r="D17" s="71" t="s">
        <v>102</v>
      </c>
      <c r="E17" s="75">
        <f>E18</f>
        <v>0</v>
      </c>
      <c r="F17" s="75"/>
      <c r="G17" s="75">
        <f t="shared" ref="G17:I18" si="6">G18</f>
        <v>0</v>
      </c>
      <c r="H17" s="75">
        <f t="shared" si="6"/>
        <v>0</v>
      </c>
      <c r="I17" s="75">
        <f t="shared" si="6"/>
        <v>0</v>
      </c>
    </row>
    <row r="18" spans="1:9" ht="25.5" x14ac:dyDescent="0.25">
      <c r="A18" s="114">
        <v>4</v>
      </c>
      <c r="B18" s="115"/>
      <c r="C18" s="116"/>
      <c r="D18" s="70" t="s">
        <v>12</v>
      </c>
      <c r="E18" s="77">
        <f>E19</f>
        <v>0</v>
      </c>
      <c r="F18" s="77"/>
      <c r="G18" s="77">
        <f t="shared" si="6"/>
        <v>0</v>
      </c>
      <c r="H18" s="77">
        <f t="shared" si="6"/>
        <v>0</v>
      </c>
      <c r="I18" s="77">
        <f t="shared" si="6"/>
        <v>0</v>
      </c>
    </row>
    <row r="19" spans="1:9" ht="25.5" x14ac:dyDescent="0.25">
      <c r="A19" s="117">
        <v>45</v>
      </c>
      <c r="B19" s="118"/>
      <c r="C19" s="119"/>
      <c r="D19" s="70" t="s">
        <v>82</v>
      </c>
      <c r="E19" s="77"/>
      <c r="F19" s="77"/>
      <c r="G19" s="77"/>
      <c r="H19" s="77"/>
      <c r="I19" s="77"/>
    </row>
    <row r="20" spans="1:9" ht="25.5" x14ac:dyDescent="0.25">
      <c r="A20" s="120" t="s">
        <v>107</v>
      </c>
      <c r="B20" s="121"/>
      <c r="C20" s="122"/>
      <c r="D20" s="68" t="s">
        <v>108</v>
      </c>
      <c r="E20" s="73">
        <f>E21</f>
        <v>581.06045523923285</v>
      </c>
      <c r="F20" s="73">
        <f t="shared" ref="F20:I22" si="7">F21</f>
        <v>0</v>
      </c>
      <c r="G20" s="73">
        <f t="shared" si="7"/>
        <v>0</v>
      </c>
      <c r="H20" s="73">
        <f t="shared" si="7"/>
        <v>0</v>
      </c>
      <c r="I20" s="73">
        <f t="shared" si="7"/>
        <v>0</v>
      </c>
    </row>
    <row r="21" spans="1:9" ht="25.5" customHeight="1" x14ac:dyDescent="0.25">
      <c r="A21" s="111" t="s">
        <v>101</v>
      </c>
      <c r="B21" s="112"/>
      <c r="C21" s="113"/>
      <c r="D21" s="71" t="s">
        <v>102</v>
      </c>
      <c r="E21" s="75">
        <f>E22</f>
        <v>581.06045523923285</v>
      </c>
      <c r="F21" s="75">
        <f t="shared" si="7"/>
        <v>0</v>
      </c>
      <c r="G21" s="75">
        <f t="shared" si="7"/>
        <v>0</v>
      </c>
      <c r="H21" s="75">
        <f t="shared" si="7"/>
        <v>0</v>
      </c>
      <c r="I21" s="75">
        <f t="shared" si="7"/>
        <v>0</v>
      </c>
    </row>
    <row r="22" spans="1:9" ht="25.5" x14ac:dyDescent="0.25">
      <c r="A22" s="114">
        <v>4</v>
      </c>
      <c r="B22" s="115"/>
      <c r="C22" s="116"/>
      <c r="D22" s="70" t="s">
        <v>12</v>
      </c>
      <c r="E22" s="77">
        <f>E23</f>
        <v>581.06045523923285</v>
      </c>
      <c r="F22" s="77">
        <f t="shared" si="7"/>
        <v>0</v>
      </c>
      <c r="G22" s="77">
        <f t="shared" si="7"/>
        <v>0</v>
      </c>
      <c r="H22" s="77">
        <f t="shared" si="7"/>
        <v>0</v>
      </c>
      <c r="I22" s="77">
        <f t="shared" si="7"/>
        <v>0</v>
      </c>
    </row>
    <row r="23" spans="1:9" ht="25.5" x14ac:dyDescent="0.25">
      <c r="A23" s="117">
        <v>42</v>
      </c>
      <c r="B23" s="118"/>
      <c r="C23" s="119"/>
      <c r="D23" s="70" t="s">
        <v>30</v>
      </c>
      <c r="E23" s="77">
        <f>4378/7.5345</f>
        <v>581.06045523923285</v>
      </c>
      <c r="F23" s="77"/>
      <c r="G23" s="77"/>
      <c r="H23" s="77"/>
      <c r="I23" s="77"/>
    </row>
    <row r="24" spans="1:9" x14ac:dyDescent="0.25">
      <c r="A24" s="120" t="s">
        <v>109</v>
      </c>
      <c r="B24" s="121"/>
      <c r="C24" s="122"/>
      <c r="D24" s="68" t="s">
        <v>110</v>
      </c>
      <c r="E24" s="73">
        <f>E25</f>
        <v>1389864.702369102</v>
      </c>
      <c r="F24" s="73">
        <f t="shared" ref="F24:I25" si="8">F25</f>
        <v>1496700</v>
      </c>
      <c r="G24" s="73">
        <f t="shared" si="8"/>
        <v>1646200</v>
      </c>
      <c r="H24" s="73">
        <f t="shared" si="8"/>
        <v>1687355</v>
      </c>
      <c r="I24" s="73">
        <f t="shared" si="8"/>
        <v>1729538.88</v>
      </c>
    </row>
    <row r="25" spans="1:9" x14ac:dyDescent="0.25">
      <c r="A25" s="111" t="s">
        <v>111</v>
      </c>
      <c r="B25" s="112"/>
      <c r="C25" s="113"/>
      <c r="D25" s="71" t="s">
        <v>112</v>
      </c>
      <c r="E25" s="75">
        <f>E26</f>
        <v>1389864.702369102</v>
      </c>
      <c r="F25" s="75">
        <f>F26</f>
        <v>1496700</v>
      </c>
      <c r="G25" s="75">
        <f t="shared" si="8"/>
        <v>1646200</v>
      </c>
      <c r="H25" s="75">
        <f t="shared" si="8"/>
        <v>1687355</v>
      </c>
      <c r="I25" s="75">
        <f t="shared" si="8"/>
        <v>1729538.88</v>
      </c>
    </row>
    <row r="26" spans="1:9" x14ac:dyDescent="0.25">
      <c r="A26" s="114">
        <v>3</v>
      </c>
      <c r="B26" s="115"/>
      <c r="C26" s="116"/>
      <c r="D26" s="70" t="s">
        <v>10</v>
      </c>
      <c r="E26" s="77">
        <f>E27+E28</f>
        <v>1389864.702369102</v>
      </c>
      <c r="F26" s="77">
        <f>F27+F28</f>
        <v>1496700</v>
      </c>
      <c r="G26" s="77">
        <f t="shared" ref="G26:I26" si="9">G27+G28</f>
        <v>1646200</v>
      </c>
      <c r="H26" s="77">
        <f t="shared" si="9"/>
        <v>1687355</v>
      </c>
      <c r="I26" s="77">
        <f t="shared" si="9"/>
        <v>1729538.88</v>
      </c>
    </row>
    <row r="27" spans="1:9" x14ac:dyDescent="0.25">
      <c r="A27" s="117">
        <v>31</v>
      </c>
      <c r="B27" s="118"/>
      <c r="C27" s="119"/>
      <c r="D27" s="70" t="s">
        <v>11</v>
      </c>
      <c r="E27" s="77">
        <f>10471935.6/7.5345-E28</f>
        <v>1388258.6979892494</v>
      </c>
      <c r="F27" s="77">
        <f>1496700-1700</f>
        <v>1495000</v>
      </c>
      <c r="G27" s="77">
        <f>1646200-G28</f>
        <v>1644500</v>
      </c>
      <c r="H27" s="77">
        <f>1687355-H28</f>
        <v>1685612.5</v>
      </c>
      <c r="I27" s="77">
        <f>1729538.88-I28</f>
        <v>1727752.8199999998</v>
      </c>
    </row>
    <row r="28" spans="1:9" x14ac:dyDescent="0.25">
      <c r="A28" s="117">
        <v>32</v>
      </c>
      <c r="B28" s="118"/>
      <c r="C28" s="119"/>
      <c r="D28" s="70" t="s">
        <v>22</v>
      </c>
      <c r="E28" s="77">
        <f>12100.44/7.5345</f>
        <v>1606.0043798526776</v>
      </c>
      <c r="F28" s="77">
        <v>1700</v>
      </c>
      <c r="G28" s="77">
        <v>1700</v>
      </c>
      <c r="H28" s="77">
        <v>1742.5</v>
      </c>
      <c r="I28" s="77">
        <v>1786.06</v>
      </c>
    </row>
    <row r="29" spans="1:9" ht="25.5" x14ac:dyDescent="0.25">
      <c r="A29" s="123" t="s">
        <v>113</v>
      </c>
      <c r="B29" s="124"/>
      <c r="C29" s="125"/>
      <c r="D29" s="67" t="s">
        <v>114</v>
      </c>
      <c r="E29" s="72">
        <f>E30+E34+E62+E66+E70</f>
        <v>87257.108223505202</v>
      </c>
      <c r="F29" s="72">
        <f>F30+F34+F62+F66+F70+F74</f>
        <v>65263.69</v>
      </c>
      <c r="G29" s="72">
        <f>G30+G34+G62+G66+G70+G74</f>
        <v>41800</v>
      </c>
      <c r="H29" s="72">
        <f t="shared" ref="H29:I29" si="10">H30+H34+H62+H66+H70+H74</f>
        <v>42845</v>
      </c>
      <c r="I29" s="72">
        <f t="shared" si="10"/>
        <v>43916.15</v>
      </c>
    </row>
    <row r="30" spans="1:9" ht="25.5" x14ac:dyDescent="0.25">
      <c r="A30" s="120" t="s">
        <v>115</v>
      </c>
      <c r="B30" s="121"/>
      <c r="C30" s="122"/>
      <c r="D30" s="68" t="s">
        <v>116</v>
      </c>
      <c r="E30" s="73">
        <f>E31</f>
        <v>2322.649147255956</v>
      </c>
      <c r="F30" s="73">
        <f t="shared" ref="F30:I32" si="11">F31</f>
        <v>0</v>
      </c>
      <c r="G30" s="73">
        <f t="shared" si="11"/>
        <v>0</v>
      </c>
      <c r="H30" s="73">
        <f t="shared" si="11"/>
        <v>0</v>
      </c>
      <c r="I30" s="73">
        <f t="shared" si="11"/>
        <v>0</v>
      </c>
    </row>
    <row r="31" spans="1:9" x14ac:dyDescent="0.25">
      <c r="A31" s="111" t="s">
        <v>117</v>
      </c>
      <c r="B31" s="112"/>
      <c r="C31" s="113"/>
      <c r="D31" s="71" t="s">
        <v>118</v>
      </c>
      <c r="E31" s="75">
        <f>E32</f>
        <v>2322.649147255956</v>
      </c>
      <c r="F31" s="75">
        <f t="shared" si="11"/>
        <v>0</v>
      </c>
      <c r="G31" s="75">
        <f t="shared" si="11"/>
        <v>0</v>
      </c>
      <c r="H31" s="75">
        <f t="shared" si="11"/>
        <v>0</v>
      </c>
      <c r="I31" s="75">
        <f t="shared" si="11"/>
        <v>0</v>
      </c>
    </row>
    <row r="32" spans="1:9" x14ac:dyDescent="0.25">
      <c r="A32" s="117">
        <v>3</v>
      </c>
      <c r="B32" s="118"/>
      <c r="C32" s="119"/>
      <c r="D32" s="70" t="s">
        <v>10</v>
      </c>
      <c r="E32" s="77">
        <f>E33</f>
        <v>2322.649147255956</v>
      </c>
      <c r="F32" s="77">
        <f t="shared" si="11"/>
        <v>0</v>
      </c>
      <c r="G32" s="77">
        <f t="shared" si="11"/>
        <v>0</v>
      </c>
      <c r="H32" s="77">
        <f t="shared" si="11"/>
        <v>0</v>
      </c>
      <c r="I32" s="77">
        <f t="shared" si="11"/>
        <v>0</v>
      </c>
    </row>
    <row r="33" spans="1:9" x14ac:dyDescent="0.25">
      <c r="A33" s="117">
        <v>32</v>
      </c>
      <c r="B33" s="118"/>
      <c r="C33" s="119"/>
      <c r="D33" s="70" t="s">
        <v>22</v>
      </c>
      <c r="E33" s="77">
        <f>17500/7.5345</f>
        <v>2322.649147255956</v>
      </c>
      <c r="F33" s="77"/>
      <c r="G33" s="77"/>
      <c r="H33" s="77"/>
      <c r="I33" s="77"/>
    </row>
    <row r="34" spans="1:9" ht="25.5" x14ac:dyDescent="0.25">
      <c r="A34" s="120" t="s">
        <v>119</v>
      </c>
      <c r="B34" s="121"/>
      <c r="C34" s="122"/>
      <c r="D34" s="68" t="s">
        <v>120</v>
      </c>
      <c r="E34" s="73">
        <f>E35+E40+E43+E48+E51+E56</f>
        <v>83028.655107837272</v>
      </c>
      <c r="F34" s="73">
        <f>F35+F40+F43+F48+F51+F56</f>
        <v>63836.490000000005</v>
      </c>
      <c r="G34" s="73">
        <f>G35+G40+G43+G48+G51+G56</f>
        <v>41800</v>
      </c>
      <c r="H34" s="73">
        <f t="shared" ref="H34:I34" si="12">H35+H40+H43+H48+H51+H56</f>
        <v>42845</v>
      </c>
      <c r="I34" s="73">
        <f t="shared" si="12"/>
        <v>43916.15</v>
      </c>
    </row>
    <row r="35" spans="1:9" x14ac:dyDescent="0.25">
      <c r="A35" s="111" t="s">
        <v>121</v>
      </c>
      <c r="B35" s="112"/>
      <c r="C35" s="113"/>
      <c r="D35" s="71" t="s">
        <v>122</v>
      </c>
      <c r="E35" s="75">
        <f>E36+E38</f>
        <v>1654.0195102528371</v>
      </c>
      <c r="F35" s="75">
        <f>F36+F38</f>
        <v>3000</v>
      </c>
      <c r="G35" s="75">
        <f>G36</f>
        <v>3000</v>
      </c>
      <c r="H35" s="75">
        <f t="shared" ref="H35:I36" si="13">H36</f>
        <v>3075</v>
      </c>
      <c r="I35" s="75">
        <f t="shared" si="13"/>
        <v>3151.88</v>
      </c>
    </row>
    <row r="36" spans="1:9" x14ac:dyDescent="0.25">
      <c r="A36" s="117">
        <v>3</v>
      </c>
      <c r="B36" s="118"/>
      <c r="C36" s="119"/>
      <c r="D36" s="70" t="s">
        <v>10</v>
      </c>
      <c r="E36" s="77">
        <f>E37</f>
        <v>359.97212821023294</v>
      </c>
      <c r="F36" s="77">
        <f>F37</f>
        <v>1500</v>
      </c>
      <c r="G36" s="77">
        <f>G37</f>
        <v>3000</v>
      </c>
      <c r="H36" s="77">
        <f t="shared" si="13"/>
        <v>3075</v>
      </c>
      <c r="I36" s="77">
        <f t="shared" si="13"/>
        <v>3151.88</v>
      </c>
    </row>
    <row r="37" spans="1:9" x14ac:dyDescent="0.25">
      <c r="A37" s="117">
        <v>32</v>
      </c>
      <c r="B37" s="118"/>
      <c r="C37" s="119"/>
      <c r="D37" s="70" t="s">
        <v>22</v>
      </c>
      <c r="E37" s="77">
        <f>2712.21/7.5345</f>
        <v>359.97212821023294</v>
      </c>
      <c r="F37" s="77">
        <f>1500</f>
        <v>1500</v>
      </c>
      <c r="G37" s="77">
        <f>1800+1200</f>
        <v>3000</v>
      </c>
      <c r="H37" s="77">
        <v>3075</v>
      </c>
      <c r="I37" s="77">
        <v>3151.88</v>
      </c>
    </row>
    <row r="38" spans="1:9" ht="25.5" x14ac:dyDescent="0.25">
      <c r="A38" s="114">
        <v>4</v>
      </c>
      <c r="B38" s="115"/>
      <c r="C38" s="116"/>
      <c r="D38" s="70" t="s">
        <v>12</v>
      </c>
      <c r="E38" s="77">
        <f>E39</f>
        <v>1294.0473820426041</v>
      </c>
      <c r="F38" s="77">
        <f t="shared" ref="F38:I38" si="14">F39</f>
        <v>1500</v>
      </c>
      <c r="G38" s="77">
        <f t="shared" si="14"/>
        <v>0</v>
      </c>
      <c r="H38" s="77">
        <f t="shared" si="14"/>
        <v>0</v>
      </c>
      <c r="I38" s="77">
        <f t="shared" si="14"/>
        <v>0</v>
      </c>
    </row>
    <row r="39" spans="1:9" ht="25.5" x14ac:dyDescent="0.25">
      <c r="A39" s="117">
        <v>42</v>
      </c>
      <c r="B39" s="118"/>
      <c r="C39" s="119"/>
      <c r="D39" s="70" t="s">
        <v>30</v>
      </c>
      <c r="E39" s="77">
        <f>4784/7.5345+4966/7.5345</f>
        <v>1294.0473820426041</v>
      </c>
      <c r="F39" s="77">
        <v>1500</v>
      </c>
      <c r="G39" s="77"/>
      <c r="H39" s="77"/>
      <c r="I39" s="77"/>
    </row>
    <row r="40" spans="1:9" x14ac:dyDescent="0.25">
      <c r="A40" s="111" t="s">
        <v>123</v>
      </c>
      <c r="B40" s="112"/>
      <c r="C40" s="113"/>
      <c r="D40" s="71" t="s">
        <v>124</v>
      </c>
      <c r="E40" s="75">
        <f>E41</f>
        <v>123.92992235715707</v>
      </c>
      <c r="F40" s="75">
        <f>F41</f>
        <v>600</v>
      </c>
      <c r="G40" s="75">
        <f t="shared" ref="F40:I41" si="15">G41</f>
        <v>600</v>
      </c>
      <c r="H40" s="75">
        <f t="shared" si="15"/>
        <v>615</v>
      </c>
      <c r="I40" s="75">
        <f t="shared" si="15"/>
        <v>630.38</v>
      </c>
    </row>
    <row r="41" spans="1:9" x14ac:dyDescent="0.25">
      <c r="A41" s="114">
        <v>3</v>
      </c>
      <c r="B41" s="115"/>
      <c r="C41" s="116"/>
      <c r="D41" s="70" t="s">
        <v>10</v>
      </c>
      <c r="E41" s="77">
        <f>E42</f>
        <v>123.92992235715707</v>
      </c>
      <c r="F41" s="77">
        <f t="shared" si="15"/>
        <v>600</v>
      </c>
      <c r="G41" s="77">
        <f t="shared" si="15"/>
        <v>600</v>
      </c>
      <c r="H41" s="77">
        <f t="shared" si="15"/>
        <v>615</v>
      </c>
      <c r="I41" s="77">
        <f t="shared" si="15"/>
        <v>630.38</v>
      </c>
    </row>
    <row r="42" spans="1:9" x14ac:dyDescent="0.25">
      <c r="A42" s="117">
        <v>32</v>
      </c>
      <c r="B42" s="118"/>
      <c r="C42" s="119"/>
      <c r="D42" s="70" t="s">
        <v>22</v>
      </c>
      <c r="E42" s="77">
        <f>933.75/7.5345</f>
        <v>123.92992235715707</v>
      </c>
      <c r="F42" s="77">
        <f>600</f>
        <v>600</v>
      </c>
      <c r="G42" s="77">
        <v>600</v>
      </c>
      <c r="H42" s="77">
        <v>615</v>
      </c>
      <c r="I42" s="77">
        <v>630.38</v>
      </c>
    </row>
    <row r="43" spans="1:9" x14ac:dyDescent="0.25">
      <c r="A43" s="111" t="s">
        <v>111</v>
      </c>
      <c r="B43" s="112"/>
      <c r="C43" s="113"/>
      <c r="D43" s="71" t="s">
        <v>112</v>
      </c>
      <c r="E43" s="75">
        <f>E44+E46</f>
        <v>64600.897206184876</v>
      </c>
      <c r="F43" s="75">
        <f>F44+F46</f>
        <v>41161.4</v>
      </c>
      <c r="G43" s="75">
        <f t="shared" ref="G43:I43" si="16">G44+G46</f>
        <v>30200</v>
      </c>
      <c r="H43" s="75">
        <f t="shared" si="16"/>
        <v>30955</v>
      </c>
      <c r="I43" s="75">
        <f t="shared" si="16"/>
        <v>31728.89</v>
      </c>
    </row>
    <row r="44" spans="1:9" x14ac:dyDescent="0.25">
      <c r="A44" s="117">
        <v>3</v>
      </c>
      <c r="B44" s="118"/>
      <c r="C44" s="119"/>
      <c r="D44" s="70" t="s">
        <v>10</v>
      </c>
      <c r="E44" s="77">
        <f>E45</f>
        <v>63362.440772446738</v>
      </c>
      <c r="F44" s="77">
        <f t="shared" ref="F44:I44" si="17">F45</f>
        <v>39161.4</v>
      </c>
      <c r="G44" s="77">
        <f>G45</f>
        <v>28200</v>
      </c>
      <c r="H44" s="77">
        <f t="shared" si="17"/>
        <v>28905</v>
      </c>
      <c r="I44" s="77">
        <f t="shared" si="17"/>
        <v>29627.629999999997</v>
      </c>
    </row>
    <row r="45" spans="1:9" x14ac:dyDescent="0.25">
      <c r="A45" s="117">
        <v>32</v>
      </c>
      <c r="B45" s="118"/>
      <c r="C45" s="119"/>
      <c r="D45" s="70" t="s">
        <v>22</v>
      </c>
      <c r="E45" s="77">
        <f>(325690.8+14283)/7.5345+40474/7.5345+9380/7.5345+486/7.5345+87090.51/7.5345</f>
        <v>63362.440772446738</v>
      </c>
      <c r="F45" s="77">
        <f>11147.39+25000+150+2864.01</f>
        <v>39161.4</v>
      </c>
      <c r="G45" s="77">
        <f>29200-1000</f>
        <v>28200</v>
      </c>
      <c r="H45" s="77">
        <f>29930-1025</f>
        <v>28905</v>
      </c>
      <c r="I45" s="77">
        <f>30678.26-1050.63</f>
        <v>29627.629999999997</v>
      </c>
    </row>
    <row r="46" spans="1:9" ht="25.5" x14ac:dyDescent="0.25">
      <c r="A46" s="114">
        <v>4</v>
      </c>
      <c r="B46" s="115"/>
      <c r="C46" s="116"/>
      <c r="D46" s="70" t="s">
        <v>12</v>
      </c>
      <c r="E46" s="77">
        <f>E47</f>
        <v>1238.4564337381378</v>
      </c>
      <c r="F46" s="77">
        <f t="shared" ref="F46:I46" si="18">F47</f>
        <v>2000</v>
      </c>
      <c r="G46" s="77">
        <f t="shared" si="18"/>
        <v>2000</v>
      </c>
      <c r="H46" s="77">
        <f t="shared" si="18"/>
        <v>2050</v>
      </c>
      <c r="I46" s="77">
        <f t="shared" si="18"/>
        <v>2101.2600000000002</v>
      </c>
    </row>
    <row r="47" spans="1:9" ht="25.5" x14ac:dyDescent="0.25">
      <c r="A47" s="117">
        <v>42</v>
      </c>
      <c r="B47" s="118"/>
      <c r="C47" s="119"/>
      <c r="D47" s="70" t="s">
        <v>30</v>
      </c>
      <c r="E47" s="77">
        <f>9331.15/7.5345</f>
        <v>1238.4564337381378</v>
      </c>
      <c r="F47" s="77">
        <v>2000</v>
      </c>
      <c r="G47" s="77">
        <v>2000</v>
      </c>
      <c r="H47" s="77">
        <f>1025+1025</f>
        <v>2050</v>
      </c>
      <c r="I47" s="77">
        <f>1050.63+1050.63</f>
        <v>2101.2600000000002</v>
      </c>
    </row>
    <row r="48" spans="1:9" x14ac:dyDescent="0.25">
      <c r="A48" s="111" t="s">
        <v>125</v>
      </c>
      <c r="B48" s="112"/>
      <c r="C48" s="113"/>
      <c r="D48" s="71" t="s">
        <v>126</v>
      </c>
      <c r="E48" s="75">
        <f>E49</f>
        <v>943.21985533213876</v>
      </c>
      <c r="F48" s="75">
        <f>F49</f>
        <v>0</v>
      </c>
      <c r="G48" s="75">
        <f t="shared" ref="F48:I49" si="19">G49</f>
        <v>0</v>
      </c>
      <c r="H48" s="75">
        <f t="shared" si="19"/>
        <v>0</v>
      </c>
      <c r="I48" s="75">
        <f t="shared" si="19"/>
        <v>0</v>
      </c>
    </row>
    <row r="49" spans="1:9" x14ac:dyDescent="0.25">
      <c r="A49" s="114">
        <v>3</v>
      </c>
      <c r="B49" s="115"/>
      <c r="C49" s="116"/>
      <c r="D49" s="70" t="s">
        <v>10</v>
      </c>
      <c r="E49" s="77">
        <f>E50</f>
        <v>943.21985533213876</v>
      </c>
      <c r="F49" s="77">
        <f t="shared" si="19"/>
        <v>0</v>
      </c>
      <c r="G49" s="77">
        <f t="shared" si="19"/>
        <v>0</v>
      </c>
      <c r="H49" s="77">
        <f t="shared" si="19"/>
        <v>0</v>
      </c>
      <c r="I49" s="77">
        <f t="shared" si="19"/>
        <v>0</v>
      </c>
    </row>
    <row r="50" spans="1:9" x14ac:dyDescent="0.25">
      <c r="A50" s="117">
        <v>32</v>
      </c>
      <c r="B50" s="118"/>
      <c r="C50" s="119"/>
      <c r="D50" s="70" t="s">
        <v>22</v>
      </c>
      <c r="E50" s="77">
        <f>7106.69/7.5345</f>
        <v>943.21985533213876</v>
      </c>
      <c r="F50" s="77"/>
      <c r="G50" s="77"/>
      <c r="H50" s="77"/>
      <c r="I50" s="77"/>
    </row>
    <row r="51" spans="1:9" x14ac:dyDescent="0.25">
      <c r="A51" s="111" t="s">
        <v>127</v>
      </c>
      <c r="B51" s="112"/>
      <c r="C51" s="113"/>
      <c r="D51" s="71" t="s">
        <v>128</v>
      </c>
      <c r="E51" s="75">
        <f>E52+E54</f>
        <v>9608.149180436656</v>
      </c>
      <c r="F51" s="75">
        <f t="shared" ref="F51:I51" si="20">F52+F54</f>
        <v>4000</v>
      </c>
      <c r="G51" s="75">
        <f t="shared" si="20"/>
        <v>0</v>
      </c>
      <c r="H51" s="75">
        <f t="shared" si="20"/>
        <v>0</v>
      </c>
      <c r="I51" s="75">
        <f t="shared" si="20"/>
        <v>0</v>
      </c>
    </row>
    <row r="52" spans="1:9" x14ac:dyDescent="0.25">
      <c r="A52" s="117">
        <v>3</v>
      </c>
      <c r="B52" s="118"/>
      <c r="C52" s="119"/>
      <c r="D52" s="70" t="s">
        <v>10</v>
      </c>
      <c r="E52" s="77">
        <f>E53</f>
        <v>1777.5101201141415</v>
      </c>
      <c r="F52" s="77">
        <f t="shared" ref="F52:I52" si="21">F53</f>
        <v>4000</v>
      </c>
      <c r="G52" s="77">
        <f t="shared" si="21"/>
        <v>0</v>
      </c>
      <c r="H52" s="77">
        <f t="shared" si="21"/>
        <v>0</v>
      </c>
      <c r="I52" s="77">
        <f t="shared" si="21"/>
        <v>0</v>
      </c>
    </row>
    <row r="53" spans="1:9" x14ac:dyDescent="0.25">
      <c r="A53" s="117">
        <v>32</v>
      </c>
      <c r="B53" s="118"/>
      <c r="C53" s="119"/>
      <c r="D53" s="70" t="s">
        <v>22</v>
      </c>
      <c r="E53" s="77">
        <f>13392.65/7.5345</f>
        <v>1777.5101201141415</v>
      </c>
      <c r="F53" s="77">
        <v>4000</v>
      </c>
      <c r="G53" s="77"/>
      <c r="H53" s="77"/>
      <c r="I53" s="77"/>
    </row>
    <row r="54" spans="1:9" ht="25.5" x14ac:dyDescent="0.25">
      <c r="A54" s="114">
        <v>4</v>
      </c>
      <c r="B54" s="115"/>
      <c r="C54" s="116"/>
      <c r="D54" s="70" t="s">
        <v>12</v>
      </c>
      <c r="E54" s="77">
        <f>E55</f>
        <v>7830.6390603225154</v>
      </c>
      <c r="F54" s="77">
        <f t="shared" ref="F54:I54" si="22">F55</f>
        <v>0</v>
      </c>
      <c r="G54" s="77">
        <f t="shared" si="22"/>
        <v>0</v>
      </c>
      <c r="H54" s="77">
        <f t="shared" si="22"/>
        <v>0</v>
      </c>
      <c r="I54" s="77">
        <f t="shared" si="22"/>
        <v>0</v>
      </c>
    </row>
    <row r="55" spans="1:9" ht="25.5" x14ac:dyDescent="0.25">
      <c r="A55" s="117">
        <v>42</v>
      </c>
      <c r="B55" s="118"/>
      <c r="C55" s="119"/>
      <c r="D55" s="70" t="s">
        <v>30</v>
      </c>
      <c r="E55" s="77">
        <f>58999.95/7.5345</f>
        <v>7830.6390603225154</v>
      </c>
      <c r="F55" s="77"/>
      <c r="G55" s="77"/>
      <c r="H55" s="77"/>
      <c r="I55" s="77"/>
    </row>
    <row r="56" spans="1:9" x14ac:dyDescent="0.25">
      <c r="A56" s="111" t="s">
        <v>129</v>
      </c>
      <c r="B56" s="112"/>
      <c r="C56" s="113"/>
      <c r="D56" s="71" t="s">
        <v>130</v>
      </c>
      <c r="E56" s="75">
        <f>E57+E60</f>
        <v>6098.4394332736074</v>
      </c>
      <c r="F56" s="75">
        <f>F57+F60</f>
        <v>15075.09</v>
      </c>
      <c r="G56" s="75">
        <f t="shared" ref="G56:I56" si="23">G57</f>
        <v>8000</v>
      </c>
      <c r="H56" s="75">
        <f t="shared" si="23"/>
        <v>8200</v>
      </c>
      <c r="I56" s="75">
        <f t="shared" si="23"/>
        <v>8405</v>
      </c>
    </row>
    <row r="57" spans="1:9" x14ac:dyDescent="0.25">
      <c r="A57" s="117">
        <v>3</v>
      </c>
      <c r="B57" s="118"/>
      <c r="C57" s="119"/>
      <c r="D57" s="70" t="s">
        <v>10</v>
      </c>
      <c r="E57" s="77">
        <f>E58+E59</f>
        <v>2922.2830858052953</v>
      </c>
      <c r="F57" s="77">
        <f t="shared" ref="F57:I57" si="24">F58+F59</f>
        <v>13775.09</v>
      </c>
      <c r="G57" s="77">
        <f t="shared" si="24"/>
        <v>8000</v>
      </c>
      <c r="H57" s="77">
        <f t="shared" si="24"/>
        <v>8200</v>
      </c>
      <c r="I57" s="77">
        <f t="shared" si="24"/>
        <v>8405</v>
      </c>
    </row>
    <row r="58" spans="1:9" x14ac:dyDescent="0.25">
      <c r="A58" s="117">
        <v>32</v>
      </c>
      <c r="B58" s="118"/>
      <c r="C58" s="119"/>
      <c r="D58" s="70" t="s">
        <v>22</v>
      </c>
      <c r="E58" s="77">
        <f>(5964+3380+3424.02)/7.5345+2243.86/7.5345+730.78</f>
        <v>2723.1988731833562</v>
      </c>
      <c r="F58" s="77">
        <f>5060.29+300+1000+2000+1077.46+1266.77+3070.57</f>
        <v>13775.09</v>
      </c>
      <c r="G58" s="77">
        <f>2000+3500+2000+500</f>
        <v>8000</v>
      </c>
      <c r="H58" s="77">
        <f>8200</f>
        <v>8200</v>
      </c>
      <c r="I58" s="77">
        <v>8405</v>
      </c>
    </row>
    <row r="59" spans="1:9" x14ac:dyDescent="0.25">
      <c r="A59" s="64">
        <v>38</v>
      </c>
      <c r="B59" s="65"/>
      <c r="C59" s="66"/>
      <c r="D59" s="70" t="s">
        <v>81</v>
      </c>
      <c r="E59" s="77">
        <f>1500/7.5345</f>
        <v>199.08421262193906</v>
      </c>
      <c r="F59" s="77"/>
      <c r="G59" s="77"/>
      <c r="H59" s="77"/>
      <c r="I59" s="77"/>
    </row>
    <row r="60" spans="1:9" ht="25.5" x14ac:dyDescent="0.25">
      <c r="A60" s="114">
        <v>4</v>
      </c>
      <c r="B60" s="115"/>
      <c r="C60" s="116"/>
      <c r="D60" s="70" t="s">
        <v>12</v>
      </c>
      <c r="E60" s="77">
        <f>E61</f>
        <v>3176.1563474683121</v>
      </c>
      <c r="F60" s="77">
        <f t="shared" ref="F60:I60" si="25">F61</f>
        <v>1300</v>
      </c>
      <c r="G60" s="77">
        <f t="shared" si="25"/>
        <v>0</v>
      </c>
      <c r="H60" s="77">
        <f t="shared" si="25"/>
        <v>0</v>
      </c>
      <c r="I60" s="77">
        <f t="shared" si="25"/>
        <v>0</v>
      </c>
    </row>
    <row r="61" spans="1:9" ht="25.5" x14ac:dyDescent="0.25">
      <c r="A61" s="117">
        <v>42</v>
      </c>
      <c r="B61" s="118"/>
      <c r="C61" s="119"/>
      <c r="D61" s="70" t="s">
        <v>30</v>
      </c>
      <c r="E61" s="77">
        <f>23930.75/7.5345</f>
        <v>3176.1563474683121</v>
      </c>
      <c r="F61" s="77">
        <f>1300</f>
        <v>1300</v>
      </c>
      <c r="G61" s="77"/>
      <c r="H61" s="77"/>
      <c r="I61" s="77"/>
    </row>
    <row r="62" spans="1:9" ht="25.5" x14ac:dyDescent="0.25">
      <c r="A62" s="120" t="s">
        <v>131</v>
      </c>
      <c r="B62" s="121"/>
      <c r="C62" s="122"/>
      <c r="D62" s="68" t="s">
        <v>132</v>
      </c>
      <c r="E62" s="73">
        <f>E63</f>
        <v>1119.5089256088659</v>
      </c>
      <c r="F62" s="73">
        <f t="shared" ref="F62:I64" si="26">F63</f>
        <v>0</v>
      </c>
      <c r="G62" s="73">
        <f t="shared" si="26"/>
        <v>0</v>
      </c>
      <c r="H62" s="73">
        <f t="shared" si="26"/>
        <v>0</v>
      </c>
      <c r="I62" s="73">
        <f t="shared" si="26"/>
        <v>0</v>
      </c>
    </row>
    <row r="63" spans="1:9" x14ac:dyDescent="0.25">
      <c r="A63" s="111" t="s">
        <v>117</v>
      </c>
      <c r="B63" s="112"/>
      <c r="C63" s="113"/>
      <c r="D63" s="71" t="s">
        <v>118</v>
      </c>
      <c r="E63" s="75">
        <f>E64</f>
        <v>1119.5089256088659</v>
      </c>
      <c r="F63" s="75">
        <f t="shared" si="26"/>
        <v>0</v>
      </c>
      <c r="G63" s="75">
        <f t="shared" si="26"/>
        <v>0</v>
      </c>
      <c r="H63" s="75">
        <f t="shared" si="26"/>
        <v>0</v>
      </c>
      <c r="I63" s="75">
        <f t="shared" si="26"/>
        <v>0</v>
      </c>
    </row>
    <row r="64" spans="1:9" x14ac:dyDescent="0.25">
      <c r="A64" s="117">
        <v>3</v>
      </c>
      <c r="B64" s="118"/>
      <c r="C64" s="119"/>
      <c r="D64" s="70" t="s">
        <v>10</v>
      </c>
      <c r="E64" s="77">
        <f>E65</f>
        <v>1119.5089256088659</v>
      </c>
      <c r="F64" s="77">
        <f t="shared" si="26"/>
        <v>0</v>
      </c>
      <c r="G64" s="77">
        <f t="shared" si="26"/>
        <v>0</v>
      </c>
      <c r="H64" s="77">
        <f t="shared" si="26"/>
        <v>0</v>
      </c>
      <c r="I64" s="77">
        <f t="shared" si="26"/>
        <v>0</v>
      </c>
    </row>
    <row r="65" spans="1:9" x14ac:dyDescent="0.25">
      <c r="A65" s="117">
        <v>32</v>
      </c>
      <c r="B65" s="118"/>
      <c r="C65" s="119"/>
      <c r="D65" s="70" t="s">
        <v>22</v>
      </c>
      <c r="E65" s="77">
        <f>8434.94/7.5345</f>
        <v>1119.5089256088659</v>
      </c>
      <c r="F65" s="77"/>
      <c r="G65" s="77"/>
      <c r="H65" s="77"/>
      <c r="I65" s="77"/>
    </row>
    <row r="66" spans="1:9" x14ac:dyDescent="0.25">
      <c r="A66" s="120" t="s">
        <v>133</v>
      </c>
      <c r="B66" s="121"/>
      <c r="C66" s="122"/>
      <c r="D66" s="68" t="s">
        <v>134</v>
      </c>
      <c r="E66" s="73">
        <f>E67</f>
        <v>786.29504280310573</v>
      </c>
      <c r="F66" s="73">
        <f t="shared" ref="F66:I68" si="27">F67</f>
        <v>0</v>
      </c>
      <c r="G66" s="73">
        <f t="shared" si="27"/>
        <v>0</v>
      </c>
      <c r="H66" s="73">
        <f t="shared" si="27"/>
        <v>0</v>
      </c>
      <c r="I66" s="73">
        <f t="shared" si="27"/>
        <v>0</v>
      </c>
    </row>
    <row r="67" spans="1:9" x14ac:dyDescent="0.25">
      <c r="A67" s="111" t="s">
        <v>117</v>
      </c>
      <c r="B67" s="112"/>
      <c r="C67" s="113"/>
      <c r="D67" s="71" t="s">
        <v>118</v>
      </c>
      <c r="E67" s="75">
        <f>E68</f>
        <v>786.29504280310573</v>
      </c>
      <c r="F67" s="75">
        <f t="shared" si="27"/>
        <v>0</v>
      </c>
      <c r="G67" s="75">
        <f t="shared" si="27"/>
        <v>0</v>
      </c>
      <c r="H67" s="75">
        <f t="shared" si="27"/>
        <v>0</v>
      </c>
      <c r="I67" s="75">
        <f t="shared" si="27"/>
        <v>0</v>
      </c>
    </row>
    <row r="68" spans="1:9" x14ac:dyDescent="0.25">
      <c r="A68" s="117">
        <v>3</v>
      </c>
      <c r="B68" s="118"/>
      <c r="C68" s="119"/>
      <c r="D68" s="70" t="s">
        <v>10</v>
      </c>
      <c r="E68" s="77">
        <f>E69</f>
        <v>786.29504280310573</v>
      </c>
      <c r="F68" s="77">
        <f t="shared" si="27"/>
        <v>0</v>
      </c>
      <c r="G68" s="77">
        <f t="shared" si="27"/>
        <v>0</v>
      </c>
      <c r="H68" s="77">
        <f t="shared" si="27"/>
        <v>0</v>
      </c>
      <c r="I68" s="77">
        <f t="shared" si="27"/>
        <v>0</v>
      </c>
    </row>
    <row r="69" spans="1:9" x14ac:dyDescent="0.25">
      <c r="A69" s="117">
        <v>32</v>
      </c>
      <c r="B69" s="118"/>
      <c r="C69" s="119"/>
      <c r="D69" s="70" t="s">
        <v>22</v>
      </c>
      <c r="E69" s="77">
        <f>5924.34/7.5345</f>
        <v>786.29504280310573</v>
      </c>
      <c r="F69" s="77"/>
      <c r="G69" s="77"/>
      <c r="H69" s="77"/>
      <c r="I69" s="77"/>
    </row>
    <row r="70" spans="1:9" x14ac:dyDescent="0.25">
      <c r="A70" s="120" t="s">
        <v>135</v>
      </c>
      <c r="B70" s="121"/>
      <c r="C70" s="122"/>
      <c r="D70" s="68" t="s">
        <v>136</v>
      </c>
      <c r="E70" s="73">
        <f>E71</f>
        <v>0</v>
      </c>
      <c r="F70" s="73">
        <f t="shared" ref="F70:I72" si="28">F71</f>
        <v>0</v>
      </c>
      <c r="G70" s="73">
        <f t="shared" si="28"/>
        <v>0</v>
      </c>
      <c r="H70" s="73">
        <f t="shared" si="28"/>
        <v>0</v>
      </c>
      <c r="I70" s="73">
        <f t="shared" si="28"/>
        <v>0</v>
      </c>
    </row>
    <row r="71" spans="1:9" x14ac:dyDescent="0.25">
      <c r="A71" s="111" t="s">
        <v>117</v>
      </c>
      <c r="B71" s="112"/>
      <c r="C71" s="113"/>
      <c r="D71" s="71" t="s">
        <v>118</v>
      </c>
      <c r="E71" s="75">
        <f>E72</f>
        <v>0</v>
      </c>
      <c r="F71" s="75">
        <f t="shared" si="28"/>
        <v>0</v>
      </c>
      <c r="G71" s="75">
        <f t="shared" si="28"/>
        <v>0</v>
      </c>
      <c r="H71" s="75">
        <f t="shared" si="28"/>
        <v>0</v>
      </c>
      <c r="I71" s="75">
        <f t="shared" si="28"/>
        <v>0</v>
      </c>
    </row>
    <row r="72" spans="1:9" x14ac:dyDescent="0.25">
      <c r="A72" s="117">
        <v>3</v>
      </c>
      <c r="B72" s="118"/>
      <c r="C72" s="119"/>
      <c r="D72" s="70" t="s">
        <v>10</v>
      </c>
      <c r="E72" s="77">
        <f>E73</f>
        <v>0</v>
      </c>
      <c r="F72" s="77">
        <f t="shared" si="28"/>
        <v>0</v>
      </c>
      <c r="G72" s="77">
        <f t="shared" si="28"/>
        <v>0</v>
      </c>
      <c r="H72" s="77">
        <f t="shared" si="28"/>
        <v>0</v>
      </c>
      <c r="I72" s="77">
        <f t="shared" si="28"/>
        <v>0</v>
      </c>
    </row>
    <row r="73" spans="1:9" x14ac:dyDescent="0.25">
      <c r="A73" s="117">
        <v>32</v>
      </c>
      <c r="B73" s="118"/>
      <c r="C73" s="119"/>
      <c r="D73" s="70" t="s">
        <v>22</v>
      </c>
      <c r="E73" s="77"/>
      <c r="F73" s="77"/>
      <c r="G73" s="77"/>
      <c r="H73" s="77"/>
      <c r="I73" s="77"/>
    </row>
    <row r="74" spans="1:9" ht="25.5" x14ac:dyDescent="0.25">
      <c r="A74" s="120" t="s">
        <v>137</v>
      </c>
      <c r="B74" s="121"/>
      <c r="C74" s="122"/>
      <c r="D74" s="68" t="s">
        <v>138</v>
      </c>
      <c r="E74" s="73">
        <f>E75</f>
        <v>0</v>
      </c>
      <c r="F74" s="73">
        <f t="shared" ref="F74:I76" si="29">F75</f>
        <v>1427.2</v>
      </c>
      <c r="G74" s="73">
        <f t="shared" si="29"/>
        <v>0</v>
      </c>
      <c r="H74" s="73">
        <f t="shared" si="29"/>
        <v>0</v>
      </c>
      <c r="I74" s="73">
        <f t="shared" si="29"/>
        <v>0</v>
      </c>
    </row>
    <row r="75" spans="1:9" x14ac:dyDescent="0.25">
      <c r="A75" s="111" t="s">
        <v>111</v>
      </c>
      <c r="B75" s="112"/>
      <c r="C75" s="113"/>
      <c r="D75" s="71" t="s">
        <v>112</v>
      </c>
      <c r="E75" s="75">
        <f>E76</f>
        <v>0</v>
      </c>
      <c r="F75" s="75">
        <f t="shared" si="29"/>
        <v>1427.2</v>
      </c>
      <c r="G75" s="75">
        <f t="shared" si="29"/>
        <v>0</v>
      </c>
      <c r="H75" s="75">
        <f t="shared" si="29"/>
        <v>0</v>
      </c>
      <c r="I75" s="75">
        <f t="shared" si="29"/>
        <v>0</v>
      </c>
    </row>
    <row r="76" spans="1:9" x14ac:dyDescent="0.25">
      <c r="A76" s="117">
        <v>3</v>
      </c>
      <c r="B76" s="118"/>
      <c r="C76" s="119"/>
      <c r="D76" s="70" t="s">
        <v>10</v>
      </c>
      <c r="E76" s="77">
        <f>E77</f>
        <v>0</v>
      </c>
      <c r="F76" s="77">
        <f t="shared" si="29"/>
        <v>1427.2</v>
      </c>
      <c r="G76" s="77">
        <f t="shared" si="29"/>
        <v>0</v>
      </c>
      <c r="H76" s="77">
        <f t="shared" si="29"/>
        <v>0</v>
      </c>
      <c r="I76" s="77">
        <f t="shared" si="29"/>
        <v>0</v>
      </c>
    </row>
    <row r="77" spans="1:9" x14ac:dyDescent="0.25">
      <c r="A77" s="117">
        <v>38</v>
      </c>
      <c r="B77" s="118"/>
      <c r="C77" s="119"/>
      <c r="D77" s="70" t="s">
        <v>81</v>
      </c>
      <c r="E77" s="77"/>
      <c r="F77" s="77">
        <v>1427.2</v>
      </c>
      <c r="G77" s="77"/>
      <c r="H77" s="77"/>
      <c r="I77" s="77"/>
    </row>
    <row r="78" spans="1:9" x14ac:dyDescent="0.25">
      <c r="A78" s="123" t="s">
        <v>139</v>
      </c>
      <c r="B78" s="124"/>
      <c r="C78" s="125"/>
      <c r="D78" s="67" t="s">
        <v>140</v>
      </c>
      <c r="E78" s="72">
        <f>E79</f>
        <v>12859.700046452983</v>
      </c>
      <c r="F78" s="72">
        <f t="shared" ref="F78:I80" si="30">F79</f>
        <v>0</v>
      </c>
      <c r="G78" s="72">
        <f t="shared" si="30"/>
        <v>0</v>
      </c>
      <c r="H78" s="72">
        <f t="shared" si="30"/>
        <v>0</v>
      </c>
      <c r="I78" s="72">
        <f t="shared" si="30"/>
        <v>0</v>
      </c>
    </row>
    <row r="79" spans="1:9" x14ac:dyDescent="0.25">
      <c r="A79" s="120" t="s">
        <v>141</v>
      </c>
      <c r="B79" s="121"/>
      <c r="C79" s="122"/>
      <c r="D79" s="68" t="s">
        <v>142</v>
      </c>
      <c r="E79" s="73">
        <f>E80</f>
        <v>12859.700046452983</v>
      </c>
      <c r="F79" s="73">
        <f t="shared" si="30"/>
        <v>0</v>
      </c>
      <c r="G79" s="73">
        <f t="shared" si="30"/>
        <v>0</v>
      </c>
      <c r="H79" s="73">
        <f t="shared" si="30"/>
        <v>0</v>
      </c>
      <c r="I79" s="73">
        <f t="shared" si="30"/>
        <v>0</v>
      </c>
    </row>
    <row r="80" spans="1:9" x14ac:dyDescent="0.25">
      <c r="A80" s="111" t="s">
        <v>117</v>
      </c>
      <c r="B80" s="112"/>
      <c r="C80" s="113"/>
      <c r="D80" s="71" t="s">
        <v>118</v>
      </c>
      <c r="E80" s="75">
        <f>E81</f>
        <v>12859.700046452983</v>
      </c>
      <c r="F80" s="75">
        <f t="shared" si="30"/>
        <v>0</v>
      </c>
      <c r="G80" s="75">
        <f t="shared" si="30"/>
        <v>0</v>
      </c>
      <c r="H80" s="75">
        <f t="shared" si="30"/>
        <v>0</v>
      </c>
      <c r="I80" s="75">
        <f t="shared" si="30"/>
        <v>0</v>
      </c>
    </row>
    <row r="81" spans="1:9" x14ac:dyDescent="0.25">
      <c r="A81" s="114">
        <v>3</v>
      </c>
      <c r="B81" s="115"/>
      <c r="C81" s="116"/>
      <c r="D81" s="70" t="s">
        <v>10</v>
      </c>
      <c r="E81" s="77">
        <f>E83+E82</f>
        <v>12859.700046452983</v>
      </c>
      <c r="F81" s="77">
        <f>F83+F82</f>
        <v>0</v>
      </c>
      <c r="G81" s="77">
        <f t="shared" ref="G81:I81" si="31">G83+G82</f>
        <v>0</v>
      </c>
      <c r="H81" s="77">
        <f t="shared" si="31"/>
        <v>0</v>
      </c>
      <c r="I81" s="77">
        <f t="shared" si="31"/>
        <v>0</v>
      </c>
    </row>
    <row r="82" spans="1:9" x14ac:dyDescent="0.25">
      <c r="A82" s="117">
        <v>31</v>
      </c>
      <c r="B82" s="118"/>
      <c r="C82" s="119"/>
      <c r="D82" s="70" t="s">
        <v>11</v>
      </c>
      <c r="E82" s="77">
        <f>96891.41/7.5345-E83</f>
        <v>11945.56374012874</v>
      </c>
      <c r="F82" s="77"/>
      <c r="G82" s="77"/>
      <c r="H82" s="77"/>
      <c r="I82" s="77"/>
    </row>
    <row r="83" spans="1:9" x14ac:dyDescent="0.25">
      <c r="A83" s="117">
        <v>32</v>
      </c>
      <c r="B83" s="118"/>
      <c r="C83" s="119"/>
      <c r="D83" s="70" t="s">
        <v>22</v>
      </c>
      <c r="E83" s="77">
        <f>6887.56/7.5345</f>
        <v>914.13630632424179</v>
      </c>
      <c r="F83" s="77"/>
      <c r="G83" s="77"/>
      <c r="H83" s="77"/>
      <c r="I83" s="77"/>
    </row>
    <row r="84" spans="1:9" x14ac:dyDescent="0.25">
      <c r="A84" s="123" t="s">
        <v>143</v>
      </c>
      <c r="B84" s="124"/>
      <c r="C84" s="125"/>
      <c r="D84" s="67" t="s">
        <v>144</v>
      </c>
      <c r="E84" s="72">
        <f>E85</f>
        <v>6967.4085871657044</v>
      </c>
      <c r="F84" s="72">
        <f t="shared" ref="F84:I87" si="32">F85</f>
        <v>859.82</v>
      </c>
      <c r="G84" s="72">
        <f t="shared" si="32"/>
        <v>0</v>
      </c>
      <c r="H84" s="72">
        <f t="shared" si="32"/>
        <v>0</v>
      </c>
      <c r="I84" s="72">
        <f t="shared" si="32"/>
        <v>0</v>
      </c>
    </row>
    <row r="85" spans="1:9" x14ac:dyDescent="0.25">
      <c r="A85" s="120" t="s">
        <v>145</v>
      </c>
      <c r="B85" s="121"/>
      <c r="C85" s="122"/>
      <c r="D85" s="68" t="s">
        <v>146</v>
      </c>
      <c r="E85" s="73">
        <f>E86</f>
        <v>6967.4085871657044</v>
      </c>
      <c r="F85" s="73">
        <f t="shared" si="32"/>
        <v>859.82</v>
      </c>
      <c r="G85" s="73">
        <f t="shared" si="32"/>
        <v>0</v>
      </c>
      <c r="H85" s="73">
        <f t="shared" si="32"/>
        <v>0</v>
      </c>
      <c r="I85" s="73">
        <f t="shared" si="32"/>
        <v>0</v>
      </c>
    </row>
    <row r="86" spans="1:9" x14ac:dyDescent="0.25">
      <c r="A86" s="111" t="s">
        <v>147</v>
      </c>
      <c r="B86" s="112"/>
      <c r="C86" s="113"/>
      <c r="D86" s="69" t="s">
        <v>130</v>
      </c>
      <c r="E86" s="75">
        <f>E87</f>
        <v>6967.4085871657044</v>
      </c>
      <c r="F86" s="75">
        <f>F87</f>
        <v>859.82</v>
      </c>
      <c r="G86" s="75">
        <f t="shared" si="32"/>
        <v>0</v>
      </c>
      <c r="H86" s="75">
        <f t="shared" si="32"/>
        <v>0</v>
      </c>
      <c r="I86" s="75">
        <f t="shared" si="32"/>
        <v>0</v>
      </c>
    </row>
    <row r="87" spans="1:9" x14ac:dyDescent="0.25">
      <c r="A87" s="114">
        <v>3</v>
      </c>
      <c r="B87" s="115"/>
      <c r="C87" s="116"/>
      <c r="D87" s="70" t="s">
        <v>10</v>
      </c>
      <c r="E87" s="77">
        <f>E88</f>
        <v>6967.4085871657044</v>
      </c>
      <c r="F87" s="77">
        <f>F88</f>
        <v>859.82</v>
      </c>
      <c r="G87" s="77">
        <f t="shared" si="32"/>
        <v>0</v>
      </c>
      <c r="H87" s="77">
        <f t="shared" si="32"/>
        <v>0</v>
      </c>
      <c r="I87" s="77">
        <f t="shared" si="32"/>
        <v>0</v>
      </c>
    </row>
    <row r="88" spans="1:9" x14ac:dyDescent="0.25">
      <c r="A88" s="117">
        <v>32</v>
      </c>
      <c r="B88" s="118"/>
      <c r="C88" s="119"/>
      <c r="D88" s="70" t="s">
        <v>22</v>
      </c>
      <c r="E88" s="77">
        <f>52495.94/7.5345</f>
        <v>6967.4085871657044</v>
      </c>
      <c r="F88" s="77">
        <v>859.82</v>
      </c>
      <c r="G88" s="77"/>
      <c r="H88" s="77"/>
      <c r="I88" s="77"/>
    </row>
    <row r="89" spans="1:9" x14ac:dyDescent="0.25">
      <c r="A89" s="123" t="s">
        <v>148</v>
      </c>
      <c r="B89" s="124"/>
      <c r="C89" s="125"/>
      <c r="D89" s="67" t="s">
        <v>149</v>
      </c>
      <c r="E89" s="72">
        <f>E90+E107</f>
        <v>15112.521069745835</v>
      </c>
      <c r="F89" s="72">
        <f>F90+F107</f>
        <v>14729.79</v>
      </c>
      <c r="G89" s="72">
        <f>G90+G107</f>
        <v>5506</v>
      </c>
      <c r="H89" s="72">
        <f t="shared" ref="H89:I89" si="33">H90+H107</f>
        <v>0</v>
      </c>
      <c r="I89" s="72">
        <f t="shared" si="33"/>
        <v>0</v>
      </c>
    </row>
    <row r="90" spans="1:9" ht="25.5" x14ac:dyDescent="0.25">
      <c r="A90" s="120" t="s">
        <v>150</v>
      </c>
      <c r="B90" s="121"/>
      <c r="C90" s="122"/>
      <c r="D90" s="68" t="s">
        <v>151</v>
      </c>
      <c r="E90" s="73">
        <f>E91+E95+E99+E103</f>
        <v>7904.5444289601173</v>
      </c>
      <c r="F90" s="73">
        <f>F91+F95+F99+F103</f>
        <v>0</v>
      </c>
      <c r="G90" s="73">
        <f t="shared" ref="G90:I90" si="34">G91+G95+G99+G103</f>
        <v>0</v>
      </c>
      <c r="H90" s="73">
        <f t="shared" si="34"/>
        <v>0</v>
      </c>
      <c r="I90" s="73">
        <f t="shared" si="34"/>
        <v>0</v>
      </c>
    </row>
    <row r="91" spans="1:9" x14ac:dyDescent="0.25">
      <c r="A91" s="111" t="s">
        <v>117</v>
      </c>
      <c r="B91" s="112"/>
      <c r="C91" s="113"/>
      <c r="D91" s="69" t="s">
        <v>118</v>
      </c>
      <c r="E91" s="75">
        <f>E92</f>
        <v>653.88546021633806</v>
      </c>
      <c r="F91" s="75">
        <f t="shared" ref="F91:I91" si="35">F92</f>
        <v>0</v>
      </c>
      <c r="G91" s="75">
        <f t="shared" si="35"/>
        <v>0</v>
      </c>
      <c r="H91" s="75">
        <f t="shared" si="35"/>
        <v>0</v>
      </c>
      <c r="I91" s="75">
        <f t="shared" si="35"/>
        <v>0</v>
      </c>
    </row>
    <row r="92" spans="1:9" x14ac:dyDescent="0.25">
      <c r="A92" s="114">
        <v>3</v>
      </c>
      <c r="B92" s="115"/>
      <c r="C92" s="116"/>
      <c r="D92" s="70" t="s">
        <v>10</v>
      </c>
      <c r="E92" s="77">
        <f>E94+E93</f>
        <v>653.88546021633806</v>
      </c>
      <c r="F92" s="77">
        <f>F94+F93</f>
        <v>0</v>
      </c>
      <c r="G92" s="77">
        <f t="shared" ref="G92:I92" si="36">G94+G93</f>
        <v>0</v>
      </c>
      <c r="H92" s="77">
        <f t="shared" si="36"/>
        <v>0</v>
      </c>
      <c r="I92" s="77">
        <f t="shared" si="36"/>
        <v>0</v>
      </c>
    </row>
    <row r="93" spans="1:9" x14ac:dyDescent="0.25">
      <c r="A93" s="117">
        <v>31</v>
      </c>
      <c r="B93" s="118"/>
      <c r="C93" s="119"/>
      <c r="D93" s="70" t="s">
        <v>11</v>
      </c>
      <c r="E93" s="77"/>
      <c r="F93" s="77"/>
      <c r="G93" s="77"/>
      <c r="H93" s="77"/>
      <c r="I93" s="77"/>
    </row>
    <row r="94" spans="1:9" x14ac:dyDescent="0.25">
      <c r="A94" s="117">
        <v>32</v>
      </c>
      <c r="B94" s="118"/>
      <c r="C94" s="119"/>
      <c r="D94" s="70" t="s">
        <v>22</v>
      </c>
      <c r="E94" s="77">
        <f>4926.7/7.5345</f>
        <v>653.88546021633806</v>
      </c>
      <c r="F94" s="77"/>
      <c r="G94" s="77"/>
      <c r="H94" s="77"/>
      <c r="I94" s="77"/>
    </row>
    <row r="95" spans="1:9" x14ac:dyDescent="0.25">
      <c r="A95" s="111" t="s">
        <v>152</v>
      </c>
      <c r="B95" s="112"/>
      <c r="C95" s="113"/>
      <c r="D95" s="69" t="s">
        <v>153</v>
      </c>
      <c r="E95" s="75">
        <f>E96</f>
        <v>3165.887583781273</v>
      </c>
      <c r="F95" s="75">
        <f>F96</f>
        <v>0</v>
      </c>
      <c r="G95" s="75">
        <f t="shared" ref="G95:I95" si="37">G96</f>
        <v>0</v>
      </c>
      <c r="H95" s="75">
        <f t="shared" si="37"/>
        <v>0</v>
      </c>
      <c r="I95" s="75">
        <f t="shared" si="37"/>
        <v>0</v>
      </c>
    </row>
    <row r="96" spans="1:9" x14ac:dyDescent="0.25">
      <c r="A96" s="114">
        <v>3</v>
      </c>
      <c r="B96" s="115"/>
      <c r="C96" s="116"/>
      <c r="D96" s="70" t="s">
        <v>10</v>
      </c>
      <c r="E96" s="77">
        <f>E97+E98</f>
        <v>3165.887583781273</v>
      </c>
      <c r="F96" s="77">
        <f>F97+F98</f>
        <v>0</v>
      </c>
      <c r="G96" s="77">
        <f t="shared" ref="G96:I96" si="38">G97+G98</f>
        <v>0</v>
      </c>
      <c r="H96" s="77">
        <f t="shared" si="38"/>
        <v>0</v>
      </c>
      <c r="I96" s="77">
        <f t="shared" si="38"/>
        <v>0</v>
      </c>
    </row>
    <row r="97" spans="1:9" x14ac:dyDescent="0.25">
      <c r="A97" s="117">
        <v>31</v>
      </c>
      <c r="B97" s="118"/>
      <c r="C97" s="119"/>
      <c r="D97" s="70" t="s">
        <v>11</v>
      </c>
      <c r="E97" s="77">
        <f>(20475+3378.38)/7.5345</f>
        <v>3165.887583781273</v>
      </c>
      <c r="F97" s="77"/>
      <c r="G97" s="77"/>
      <c r="H97" s="77"/>
      <c r="I97" s="77"/>
    </row>
    <row r="98" spans="1:9" x14ac:dyDescent="0.25">
      <c r="A98" s="117">
        <v>32</v>
      </c>
      <c r="B98" s="118"/>
      <c r="C98" s="119"/>
      <c r="D98" s="70" t="s">
        <v>22</v>
      </c>
      <c r="E98" s="77"/>
      <c r="F98" s="77"/>
      <c r="G98" s="77"/>
      <c r="H98" s="77"/>
      <c r="I98" s="77"/>
    </row>
    <row r="99" spans="1:9" x14ac:dyDescent="0.25">
      <c r="A99" s="111" t="s">
        <v>111</v>
      </c>
      <c r="B99" s="112"/>
      <c r="C99" s="113"/>
      <c r="D99" s="69" t="s">
        <v>112</v>
      </c>
      <c r="E99" s="75">
        <f>E100</f>
        <v>403.94983077841925</v>
      </c>
      <c r="F99" s="75">
        <f>F100</f>
        <v>0</v>
      </c>
      <c r="G99" s="75">
        <f t="shared" ref="G99:I99" si="39">G100</f>
        <v>0</v>
      </c>
      <c r="H99" s="75">
        <f t="shared" si="39"/>
        <v>0</v>
      </c>
      <c r="I99" s="75">
        <f t="shared" si="39"/>
        <v>0</v>
      </c>
    </row>
    <row r="100" spans="1:9" x14ac:dyDescent="0.25">
      <c r="A100" s="114">
        <v>3</v>
      </c>
      <c r="B100" s="115"/>
      <c r="C100" s="116"/>
      <c r="D100" s="70" t="s">
        <v>10</v>
      </c>
      <c r="E100" s="77">
        <f>E101+E102</f>
        <v>403.94983077841925</v>
      </c>
      <c r="F100" s="77">
        <f>F101+F102</f>
        <v>0</v>
      </c>
      <c r="G100" s="77">
        <f t="shared" ref="G100:I100" si="40">G101+G102</f>
        <v>0</v>
      </c>
      <c r="H100" s="77">
        <f t="shared" si="40"/>
        <v>0</v>
      </c>
      <c r="I100" s="77">
        <f t="shared" si="40"/>
        <v>0</v>
      </c>
    </row>
    <row r="101" spans="1:9" x14ac:dyDescent="0.25">
      <c r="A101" s="117">
        <v>31</v>
      </c>
      <c r="B101" s="118"/>
      <c r="C101" s="119"/>
      <c r="D101" s="70" t="s">
        <v>11</v>
      </c>
      <c r="E101" s="77">
        <f>(2612.5+431.06)/7.5345</f>
        <v>403.94983077841925</v>
      </c>
      <c r="F101" s="77"/>
      <c r="G101" s="77"/>
      <c r="H101" s="77"/>
      <c r="I101" s="77"/>
    </row>
    <row r="102" spans="1:9" x14ac:dyDescent="0.25">
      <c r="A102" s="117">
        <v>32</v>
      </c>
      <c r="B102" s="118"/>
      <c r="C102" s="119"/>
      <c r="D102" s="70" t="s">
        <v>22</v>
      </c>
      <c r="E102" s="77"/>
      <c r="F102" s="77"/>
      <c r="G102" s="77"/>
      <c r="H102" s="77"/>
      <c r="I102" s="77"/>
    </row>
    <row r="103" spans="1:9" x14ac:dyDescent="0.25">
      <c r="A103" s="111" t="s">
        <v>154</v>
      </c>
      <c r="B103" s="112"/>
      <c r="C103" s="113"/>
      <c r="D103" s="69" t="s">
        <v>155</v>
      </c>
      <c r="E103" s="75">
        <f>E104</f>
        <v>3680.8215541840864</v>
      </c>
      <c r="F103" s="75">
        <f>F104</f>
        <v>0</v>
      </c>
      <c r="G103" s="75">
        <f t="shared" ref="G103:I103" si="41">G104</f>
        <v>0</v>
      </c>
      <c r="H103" s="75">
        <f t="shared" si="41"/>
        <v>0</v>
      </c>
      <c r="I103" s="75">
        <f t="shared" si="41"/>
        <v>0</v>
      </c>
    </row>
    <row r="104" spans="1:9" x14ac:dyDescent="0.25">
      <c r="A104" s="114">
        <v>3</v>
      </c>
      <c r="B104" s="115"/>
      <c r="C104" s="116"/>
      <c r="D104" s="70" t="s">
        <v>10</v>
      </c>
      <c r="E104" s="77">
        <f>E105+E106</f>
        <v>3680.8215541840864</v>
      </c>
      <c r="F104" s="77">
        <f>F105+F106</f>
        <v>0</v>
      </c>
      <c r="G104" s="77">
        <f t="shared" ref="G104:I104" si="42">G105+G106</f>
        <v>0</v>
      </c>
      <c r="H104" s="77">
        <f t="shared" si="42"/>
        <v>0</v>
      </c>
      <c r="I104" s="77">
        <f t="shared" si="42"/>
        <v>0</v>
      </c>
    </row>
    <row r="105" spans="1:9" x14ac:dyDescent="0.25">
      <c r="A105" s="117">
        <v>31</v>
      </c>
      <c r="B105" s="118"/>
      <c r="C105" s="119"/>
      <c r="D105" s="70" t="s">
        <v>11</v>
      </c>
      <c r="E105" s="77">
        <f>(7125+10500+7200+1175.63+1732.52)/7.5345</f>
        <v>3680.8215541840864</v>
      </c>
      <c r="F105" s="77"/>
      <c r="G105" s="77"/>
      <c r="H105" s="77"/>
      <c r="I105" s="77"/>
    </row>
    <row r="106" spans="1:9" x14ac:dyDescent="0.25">
      <c r="A106" s="117">
        <v>32</v>
      </c>
      <c r="B106" s="118"/>
      <c r="C106" s="119"/>
      <c r="D106" s="70" t="s">
        <v>22</v>
      </c>
      <c r="E106" s="77"/>
      <c r="F106" s="77"/>
      <c r="G106" s="77"/>
      <c r="H106" s="77"/>
      <c r="I106" s="77"/>
    </row>
    <row r="107" spans="1:9" ht="25.5" x14ac:dyDescent="0.25">
      <c r="A107" s="120" t="s">
        <v>156</v>
      </c>
      <c r="B107" s="121"/>
      <c r="C107" s="122"/>
      <c r="D107" s="68" t="s">
        <v>157</v>
      </c>
      <c r="E107" s="73">
        <f>E111+E108</f>
        <v>7207.9766407857187</v>
      </c>
      <c r="F107" s="73">
        <f>F111+F108</f>
        <v>14729.79</v>
      </c>
      <c r="G107" s="73">
        <f t="shared" ref="G107:I107" si="43">G111+G108</f>
        <v>5506</v>
      </c>
      <c r="H107" s="73">
        <f t="shared" si="43"/>
        <v>0</v>
      </c>
      <c r="I107" s="73">
        <f t="shared" si="43"/>
        <v>0</v>
      </c>
    </row>
    <row r="108" spans="1:9" x14ac:dyDescent="0.25">
      <c r="A108" s="111" t="s">
        <v>154</v>
      </c>
      <c r="B108" s="112"/>
      <c r="C108" s="113"/>
      <c r="D108" s="69" t="s">
        <v>155</v>
      </c>
      <c r="E108" s="75">
        <f>E109</f>
        <v>7207.9766407857187</v>
      </c>
      <c r="F108" s="75">
        <f t="shared" ref="F108:I109" si="44">F109</f>
        <v>0</v>
      </c>
      <c r="G108" s="75">
        <f t="shared" si="44"/>
        <v>5506</v>
      </c>
      <c r="H108" s="75">
        <f t="shared" si="44"/>
        <v>0</v>
      </c>
      <c r="I108" s="75">
        <f t="shared" si="44"/>
        <v>0</v>
      </c>
    </row>
    <row r="109" spans="1:9" x14ac:dyDescent="0.25">
      <c r="A109" s="114">
        <v>3</v>
      </c>
      <c r="B109" s="115"/>
      <c r="C109" s="116"/>
      <c r="D109" s="70" t="s">
        <v>10</v>
      </c>
      <c r="E109" s="77">
        <f>E110</f>
        <v>7207.9766407857187</v>
      </c>
      <c r="F109" s="77">
        <f t="shared" si="44"/>
        <v>0</v>
      </c>
      <c r="G109" s="77">
        <f t="shared" si="44"/>
        <v>5506</v>
      </c>
      <c r="H109" s="77">
        <f t="shared" si="44"/>
        <v>0</v>
      </c>
      <c r="I109" s="77">
        <f t="shared" si="44"/>
        <v>0</v>
      </c>
    </row>
    <row r="110" spans="1:9" x14ac:dyDescent="0.25">
      <c r="A110" s="117">
        <v>32</v>
      </c>
      <c r="B110" s="118"/>
      <c r="C110" s="119"/>
      <c r="D110" s="70" t="s">
        <v>22</v>
      </c>
      <c r="E110" s="77">
        <f>54308.5/7.5345</f>
        <v>7207.9766407857187</v>
      </c>
      <c r="F110" s="77"/>
      <c r="G110" s="77">
        <v>5506</v>
      </c>
      <c r="H110" s="77"/>
      <c r="I110" s="77"/>
    </row>
    <row r="111" spans="1:9" x14ac:dyDescent="0.25">
      <c r="A111" s="111" t="s">
        <v>129</v>
      </c>
      <c r="B111" s="112"/>
      <c r="C111" s="113"/>
      <c r="D111" s="69" t="s">
        <v>130</v>
      </c>
      <c r="E111" s="75">
        <f>E112</f>
        <v>0</v>
      </c>
      <c r="F111" s="75">
        <f t="shared" ref="F111:I112" si="45">F112</f>
        <v>14729.79</v>
      </c>
      <c r="G111" s="75">
        <f t="shared" si="45"/>
        <v>0</v>
      </c>
      <c r="H111" s="75">
        <f t="shared" si="45"/>
        <v>0</v>
      </c>
      <c r="I111" s="75">
        <f t="shared" si="45"/>
        <v>0</v>
      </c>
    </row>
    <row r="112" spans="1:9" x14ac:dyDescent="0.25">
      <c r="A112" s="114">
        <v>3</v>
      </c>
      <c r="B112" s="115"/>
      <c r="C112" s="116"/>
      <c r="D112" s="70" t="s">
        <v>10</v>
      </c>
      <c r="E112" s="77">
        <f>E113</f>
        <v>0</v>
      </c>
      <c r="F112" s="77">
        <f t="shared" si="45"/>
        <v>14729.79</v>
      </c>
      <c r="G112" s="77">
        <f t="shared" si="45"/>
        <v>0</v>
      </c>
      <c r="H112" s="77">
        <f t="shared" si="45"/>
        <v>0</v>
      </c>
      <c r="I112" s="77">
        <f t="shared" si="45"/>
        <v>0</v>
      </c>
    </row>
    <row r="113" spans="1:9" x14ac:dyDescent="0.25">
      <c r="A113" s="117">
        <v>32</v>
      </c>
      <c r="B113" s="118"/>
      <c r="C113" s="119"/>
      <c r="D113" s="70" t="s">
        <v>22</v>
      </c>
      <c r="E113" s="77"/>
      <c r="F113" s="77">
        <v>14729.79</v>
      </c>
      <c r="G113" s="77"/>
      <c r="H113" s="77"/>
      <c r="I113" s="77"/>
    </row>
  </sheetData>
  <mergeCells count="110">
    <mergeCell ref="A9:C9"/>
    <mergeCell ref="A10:C10"/>
    <mergeCell ref="A11:C11"/>
    <mergeCell ref="A12:C12"/>
    <mergeCell ref="A13:C13"/>
    <mergeCell ref="A14:C14"/>
    <mergeCell ref="A1:I1"/>
    <mergeCell ref="A3:I3"/>
    <mergeCell ref="A5:C5"/>
    <mergeCell ref="A6:C6"/>
    <mergeCell ref="A7:C7"/>
    <mergeCell ref="A8:C8"/>
    <mergeCell ref="A21:C21"/>
    <mergeCell ref="A22:C22"/>
    <mergeCell ref="A23:C23"/>
    <mergeCell ref="A24:C24"/>
    <mergeCell ref="A25:C25"/>
    <mergeCell ref="A26:C26"/>
    <mergeCell ref="A15:C15"/>
    <mergeCell ref="A16:C16"/>
    <mergeCell ref="A17:C17"/>
    <mergeCell ref="A18:C18"/>
    <mergeCell ref="A19:C19"/>
    <mergeCell ref="A20:C20"/>
    <mergeCell ref="A33:C33"/>
    <mergeCell ref="A34:C34"/>
    <mergeCell ref="A35:C35"/>
    <mergeCell ref="A36:C36"/>
    <mergeCell ref="A37:C37"/>
    <mergeCell ref="A38:C38"/>
    <mergeCell ref="A27:C27"/>
    <mergeCell ref="A28:C28"/>
    <mergeCell ref="A29:C29"/>
    <mergeCell ref="A30:C30"/>
    <mergeCell ref="A31:C31"/>
    <mergeCell ref="A32:C32"/>
    <mergeCell ref="A45:C45"/>
    <mergeCell ref="A46:C46"/>
    <mergeCell ref="A47:C47"/>
    <mergeCell ref="A48:C48"/>
    <mergeCell ref="A49:C49"/>
    <mergeCell ref="A50:C50"/>
    <mergeCell ref="A39:C39"/>
    <mergeCell ref="A40:C40"/>
    <mergeCell ref="A41:C41"/>
    <mergeCell ref="A42:C42"/>
    <mergeCell ref="A43:C43"/>
    <mergeCell ref="A44:C44"/>
    <mergeCell ref="A60:C60"/>
    <mergeCell ref="A61:C61"/>
    <mergeCell ref="A62:C62"/>
    <mergeCell ref="A63:C63"/>
    <mergeCell ref="A64:C64"/>
    <mergeCell ref="A65:C65"/>
    <mergeCell ref="A51:C51"/>
    <mergeCell ref="A52:C52"/>
    <mergeCell ref="A53:C53"/>
    <mergeCell ref="A56:C56"/>
    <mergeCell ref="A57:C57"/>
    <mergeCell ref="A58:C58"/>
    <mergeCell ref="A72:C72"/>
    <mergeCell ref="A73:C73"/>
    <mergeCell ref="A74:C74"/>
    <mergeCell ref="A75:C75"/>
    <mergeCell ref="A76:C76"/>
    <mergeCell ref="A77:C77"/>
    <mergeCell ref="A66:C66"/>
    <mergeCell ref="A67:C67"/>
    <mergeCell ref="A68:C68"/>
    <mergeCell ref="A69:C69"/>
    <mergeCell ref="A70:C70"/>
    <mergeCell ref="A71:C71"/>
    <mergeCell ref="A94:C94"/>
    <mergeCell ref="A95:C95"/>
    <mergeCell ref="A84:C84"/>
    <mergeCell ref="A85:C85"/>
    <mergeCell ref="A86:C86"/>
    <mergeCell ref="A87:C87"/>
    <mergeCell ref="A88:C88"/>
    <mergeCell ref="A89:C89"/>
    <mergeCell ref="A78:C78"/>
    <mergeCell ref="A79:C79"/>
    <mergeCell ref="A80:C80"/>
    <mergeCell ref="A81:C81"/>
    <mergeCell ref="A82:C82"/>
    <mergeCell ref="A83:C83"/>
    <mergeCell ref="A111:C111"/>
    <mergeCell ref="A112:C112"/>
    <mergeCell ref="A113:C113"/>
    <mergeCell ref="A54:C54"/>
    <mergeCell ref="A55:C55"/>
    <mergeCell ref="A108:C108"/>
    <mergeCell ref="A109:C109"/>
    <mergeCell ref="A110:C110"/>
    <mergeCell ref="A102:C102"/>
    <mergeCell ref="A103:C103"/>
    <mergeCell ref="A104:C104"/>
    <mergeCell ref="A105:C105"/>
    <mergeCell ref="A106:C106"/>
    <mergeCell ref="A107:C107"/>
    <mergeCell ref="A96:C96"/>
    <mergeCell ref="A97:C97"/>
    <mergeCell ref="A98:C98"/>
    <mergeCell ref="A99:C99"/>
    <mergeCell ref="A100:C100"/>
    <mergeCell ref="A101:C101"/>
    <mergeCell ref="A90:C90"/>
    <mergeCell ref="A91:C91"/>
    <mergeCell ref="A92:C92"/>
    <mergeCell ref="A93:C93"/>
  </mergeCells>
  <pageMargins left="0.7" right="0.7" top="0.75" bottom="0.75" header="0.3" footer="0.3"/>
  <pageSetup paperSize="9" scale="49" fitToHeight="0" orientation="portrait" horizontalDpi="300" verticalDpi="300" r:id="rId1"/>
  <ignoredErrors>
    <ignoredError sqref="E16:E23 F35:F42 F60:F68 E33 E37:E38 F56 F58 E49:E50 E52:E53 E41:E42 E39 E47 E54:E55 E44:E46 E59:E61 E65:E69 F88:F89 F91:F92 E110 H27 G37 H47:I47 F29 F44:F45 G45:I45 F70:F72 F74:F80 F84:F86 F95:F96 F98:F100 F102:F104 F10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Racunovodja</cp:lastModifiedBy>
  <cp:lastPrinted>2023-10-27T09:38:22Z</cp:lastPrinted>
  <dcterms:created xsi:type="dcterms:W3CDTF">2022-08-12T12:51:27Z</dcterms:created>
  <dcterms:modified xsi:type="dcterms:W3CDTF">2023-10-31T10:44:52Z</dcterms:modified>
</cp:coreProperties>
</file>