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ja\Desktop\Poslovanje\Fin. izvještaji, izvršenje, rebalans, trogodišnji planovi, plan nabave\Izvršenje plana\Godišnji\2024\"/>
    </mc:Choice>
  </mc:AlternateContent>
  <bookViews>
    <workbookView xWindow="0" yWindow="0" windowWidth="28800" windowHeight="12210" tabRatio="939" activeTab="1"/>
  </bookViews>
  <sheets>
    <sheet name="SAŽETAK" sheetId="1" r:id="rId1"/>
    <sheet name="Račun prihoda i rashoda" sheetId="3" r:id="rId2"/>
    <sheet name="Rashodi i prihodi prema izvoru" sheetId="4" r:id="rId3"/>
    <sheet name="Rashodi prema funkcijskoj k " sheetId="5" r:id="rId4"/>
    <sheet name="Programska klasifikacija" sheetId="2" r:id="rId5"/>
    <sheet name="Posebni izvještaj-EU fondovi" sheetId="10" r:id="rId6"/>
    <sheet name="Stanje potraživanja, obveza" sheetId="9" r:id="rId7"/>
  </sheets>
  <definedNames>
    <definedName name="_xlnm.Print_Area" localSheetId="4">'Programska klasifikacija'!$A$1:$M$140</definedName>
    <definedName name="_xlnm.Print_Area" localSheetId="1">'Račun prihoda i rashoda'!$A$1:$S$112</definedName>
  </definedNames>
  <calcPr calcId="162913"/>
  <customWorkbookViews>
    <customWorkbookView name="Racunovodja - osobni prikaz" guid="{005C429F-8448-44DF-83AD-8A930973E873}" mergeInterval="0" personalView="1" maximized="1" xWindow="-8" yWindow="-8" windowWidth="1936" windowHeight="1048" activeSheetId="3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I33" i="1"/>
  <c r="K33" i="1"/>
  <c r="E33" i="1"/>
  <c r="N39" i="4" l="1"/>
  <c r="G14" i="5" l="1"/>
  <c r="G13" i="5" s="1"/>
  <c r="G12" i="5" s="1"/>
  <c r="M14" i="5"/>
  <c r="M13" i="5" s="1"/>
  <c r="M12" i="5" s="1"/>
  <c r="K14" i="5"/>
  <c r="K13" i="5" s="1"/>
  <c r="K12" i="5" s="1"/>
  <c r="I14" i="5"/>
  <c r="I13" i="5" s="1"/>
  <c r="I12" i="5" s="1"/>
  <c r="I15" i="5"/>
  <c r="K15" i="5"/>
  <c r="M15" i="5"/>
  <c r="G15" i="5"/>
  <c r="O16" i="5"/>
  <c r="P16" i="5"/>
  <c r="P14" i="5" l="1"/>
  <c r="O14" i="5"/>
  <c r="G45" i="4" l="1"/>
  <c r="G44" i="4"/>
  <c r="G40" i="4"/>
  <c r="G38" i="4"/>
  <c r="G34" i="4"/>
  <c r="G47" i="4" s="1"/>
  <c r="G24" i="4"/>
  <c r="L95" i="3"/>
  <c r="L93" i="3"/>
  <c r="L86" i="3"/>
  <c r="L85" i="3"/>
  <c r="L84" i="3"/>
  <c r="L82" i="3"/>
  <c r="L81" i="3"/>
  <c r="L79" i="3"/>
  <c r="L78" i="3"/>
  <c r="L75" i="3"/>
  <c r="L74" i="3"/>
  <c r="L72" i="3"/>
  <c r="L71" i="3"/>
  <c r="L66" i="3"/>
  <c r="L18" i="3"/>
  <c r="N34" i="1"/>
  <c r="M34" i="1"/>
  <c r="N36" i="1"/>
  <c r="M36" i="1"/>
  <c r="P65" i="3" l="1"/>
  <c r="P43" i="3"/>
  <c r="K25" i="4"/>
  <c r="K15" i="4"/>
  <c r="K14" i="4"/>
  <c r="K24" i="4"/>
  <c r="K45" i="4"/>
  <c r="I47" i="4"/>
  <c r="E47" i="4"/>
  <c r="K139" i="2" l="1"/>
  <c r="G139" i="2"/>
  <c r="I139" i="2"/>
  <c r="K132" i="2"/>
  <c r="K131" i="2"/>
  <c r="K126" i="2"/>
  <c r="K129" i="2"/>
  <c r="K127" i="2"/>
  <c r="K118" i="2"/>
  <c r="G97" i="2"/>
  <c r="K97" i="2"/>
  <c r="I97" i="2"/>
  <c r="I87" i="2"/>
  <c r="K87" i="2"/>
  <c r="G87" i="2"/>
  <c r="K53" i="2"/>
  <c r="K51" i="2"/>
  <c r="K50" i="2"/>
  <c r="K49" i="2"/>
  <c r="K17" i="2"/>
  <c r="K16" i="2" l="1"/>
  <c r="K14" i="2"/>
  <c r="I134" i="2"/>
  <c r="I133" i="2"/>
  <c r="M133" i="2" s="1"/>
  <c r="I132" i="2"/>
  <c r="I131" i="2"/>
  <c r="I129" i="2"/>
  <c r="M128" i="2"/>
  <c r="I127" i="2"/>
  <c r="I126" i="2"/>
  <c r="I118" i="2"/>
  <c r="M106" i="2"/>
  <c r="K105" i="2"/>
  <c r="I105" i="2"/>
  <c r="I103" i="2" s="1"/>
  <c r="G105" i="2"/>
  <c r="G103" i="2" s="1"/>
  <c r="M104" i="2"/>
  <c r="I95" i="2"/>
  <c r="K95" i="2"/>
  <c r="G95" i="2"/>
  <c r="M98" i="2"/>
  <c r="K92" i="2"/>
  <c r="G92" i="2"/>
  <c r="I92" i="2"/>
  <c r="M94" i="2"/>
  <c r="M79" i="2"/>
  <c r="M80" i="2"/>
  <c r="I77" i="2"/>
  <c r="K77" i="2"/>
  <c r="G77" i="2"/>
  <c r="I64" i="2"/>
  <c r="I63" i="2" s="1"/>
  <c r="K64" i="2"/>
  <c r="K63" i="2" s="1"/>
  <c r="G64" i="2"/>
  <c r="G63" i="2" s="1"/>
  <c r="M70" i="2"/>
  <c r="M69" i="2"/>
  <c r="G72" i="2"/>
  <c r="G71" i="2" s="1"/>
  <c r="K72" i="2"/>
  <c r="K71" i="2" s="1"/>
  <c r="I72" i="2"/>
  <c r="I71" i="2" s="1"/>
  <c r="M74" i="2"/>
  <c r="M75" i="2"/>
  <c r="M68" i="2"/>
  <c r="M67" i="2"/>
  <c r="M66" i="2"/>
  <c r="I17" i="2"/>
  <c r="I16" i="2"/>
  <c r="I14" i="2"/>
  <c r="I44" i="4"/>
  <c r="I40" i="4"/>
  <c r="I38" i="4"/>
  <c r="I34" i="4"/>
  <c r="K44" i="4"/>
  <c r="K47" i="4" s="1"/>
  <c r="E44" i="4"/>
  <c r="G23" i="4"/>
  <c r="I23" i="4"/>
  <c r="K23" i="4"/>
  <c r="L100" i="3"/>
  <c r="N100" i="3"/>
  <c r="P100" i="3"/>
  <c r="J100" i="3"/>
  <c r="J99" i="3" s="1"/>
  <c r="N95" i="3"/>
  <c r="N58" i="3"/>
  <c r="N67" i="3"/>
  <c r="N62" i="3"/>
  <c r="N60" i="3"/>
  <c r="N84" i="3"/>
  <c r="N71" i="3"/>
  <c r="L104" i="3"/>
  <c r="N104" i="3"/>
  <c r="P104" i="3"/>
  <c r="J104" i="3"/>
  <c r="N93" i="3"/>
  <c r="N86" i="3"/>
  <c r="N85" i="3"/>
  <c r="N83" i="3"/>
  <c r="N82" i="3"/>
  <c r="N81" i="3"/>
  <c r="N80" i="3"/>
  <c r="N79" i="3"/>
  <c r="N78" i="3"/>
  <c r="N75" i="3"/>
  <c r="N74" i="3"/>
  <c r="N72" i="3"/>
  <c r="N66" i="3"/>
  <c r="N90" i="3"/>
  <c r="N76" i="3"/>
  <c r="N73" i="3"/>
  <c r="N69" i="3"/>
  <c r="N68" i="3"/>
  <c r="J110" i="3"/>
  <c r="J109" i="3" s="1"/>
  <c r="J107" i="3"/>
  <c r="J97" i="3"/>
  <c r="J96" i="3" s="1"/>
  <c r="J87" i="3"/>
  <c r="J77" i="3"/>
  <c r="J70" i="3"/>
  <c r="J65" i="3"/>
  <c r="J61" i="3"/>
  <c r="J59" i="3"/>
  <c r="J57" i="3"/>
  <c r="N18" i="3"/>
  <c r="N28" i="3"/>
  <c r="N26" i="3"/>
  <c r="L32" i="3"/>
  <c r="L30" i="3" s="1"/>
  <c r="N32" i="3"/>
  <c r="N30" i="3" s="1"/>
  <c r="P32" i="3"/>
  <c r="P30" i="3" s="1"/>
  <c r="J32" i="3"/>
  <c r="N45" i="3"/>
  <c r="G24" i="1"/>
  <c r="I23" i="1"/>
  <c r="I22" i="1" s="1"/>
  <c r="I18" i="1"/>
  <c r="I21" i="1" s="1"/>
  <c r="M105" i="2" l="1"/>
  <c r="K103" i="2"/>
  <c r="M103" i="2" s="1"/>
  <c r="J56" i="3"/>
  <c r="J103" i="3"/>
  <c r="J102" i="3" s="1"/>
  <c r="J64" i="3"/>
  <c r="G137" i="2"/>
  <c r="G135" i="2"/>
  <c r="G118" i="2"/>
  <c r="G114" i="2"/>
  <c r="G109" i="2"/>
  <c r="G107" i="2" s="1"/>
  <c r="G101" i="2"/>
  <c r="G99" i="2" s="1"/>
  <c r="G86" i="2"/>
  <c r="G84" i="2"/>
  <c r="G83" i="2" s="1"/>
  <c r="G81" i="2"/>
  <c r="G76" i="2" s="1"/>
  <c r="G61" i="2" s="1"/>
  <c r="G57" i="2"/>
  <c r="G55" i="2" s="1"/>
  <c r="G52" i="2"/>
  <c r="G48" i="2"/>
  <c r="G22" i="2"/>
  <c r="G20" i="2" s="1"/>
  <c r="G13" i="2"/>
  <c r="E40" i="4"/>
  <c r="E38" i="4"/>
  <c r="E34" i="4"/>
  <c r="E27" i="4"/>
  <c r="E26" i="4" s="1"/>
  <c r="E24" i="4"/>
  <c r="E23" i="4" s="1"/>
  <c r="E19" i="4"/>
  <c r="E17" i="4"/>
  <c r="E13" i="4"/>
  <c r="J51" i="3"/>
  <c r="J50" i="3" s="1"/>
  <c r="J49" i="3" s="1"/>
  <c r="J43" i="3"/>
  <c r="J41" i="3" s="1"/>
  <c r="J38" i="3"/>
  <c r="J36" i="3"/>
  <c r="J30" i="3"/>
  <c r="J24" i="3"/>
  <c r="J22" i="3"/>
  <c r="J16" i="3"/>
  <c r="E23" i="1"/>
  <c r="E22" i="1" s="1"/>
  <c r="E24" i="1" s="1"/>
  <c r="E18" i="1"/>
  <c r="E21" i="1"/>
  <c r="M14" i="2"/>
  <c r="G112" i="2" l="1"/>
  <c r="G111" i="2" s="1"/>
  <c r="G54" i="2"/>
  <c r="G125" i="2"/>
  <c r="G121" i="2" s="1"/>
  <c r="G120" i="2" s="1"/>
  <c r="G46" i="2"/>
  <c r="G19" i="2" s="1"/>
  <c r="E28" i="4"/>
  <c r="J14" i="3"/>
  <c r="J55" i="3"/>
  <c r="J112" i="3" s="1"/>
  <c r="J34" i="3"/>
  <c r="J13" i="3" s="1"/>
  <c r="J53" i="3" s="1"/>
  <c r="E25" i="1"/>
  <c r="G18" i="2" l="1"/>
  <c r="S63" i="3"/>
  <c r="N18" i="1"/>
  <c r="M15" i="2" l="1"/>
  <c r="M16" i="2"/>
  <c r="M17" i="2"/>
  <c r="I13" i="2"/>
  <c r="K13" i="2"/>
  <c r="K57" i="2"/>
  <c r="K55" i="2" s="1"/>
  <c r="I57" i="2"/>
  <c r="I55" i="2" s="1"/>
  <c r="I52" i="2"/>
  <c r="K52" i="2"/>
  <c r="I48" i="2"/>
  <c r="K48" i="2"/>
  <c r="I137" i="2"/>
  <c r="I135" i="2"/>
  <c r="K135" i="2"/>
  <c r="I114" i="2"/>
  <c r="K114" i="2"/>
  <c r="I109" i="2"/>
  <c r="I107" i="2" s="1"/>
  <c r="K109" i="2"/>
  <c r="I101" i="2"/>
  <c r="I99" i="2" s="1"/>
  <c r="K101" i="2"/>
  <c r="K99" i="2" s="1"/>
  <c r="I86" i="2"/>
  <c r="K86" i="2"/>
  <c r="I84" i="2"/>
  <c r="I83" i="2" s="1"/>
  <c r="K84" i="2"/>
  <c r="K81" i="2"/>
  <c r="K76" i="2" s="1"/>
  <c r="I81" i="2"/>
  <c r="I76" i="2" s="1"/>
  <c r="M13" i="2" l="1"/>
  <c r="M135" i="2"/>
  <c r="M139" i="2"/>
  <c r="K137" i="2"/>
  <c r="M77" i="2"/>
  <c r="M109" i="2"/>
  <c r="K112" i="2"/>
  <c r="I112" i="2"/>
  <c r="M114" i="2"/>
  <c r="K107" i="2"/>
  <c r="M87" i="2"/>
  <c r="M92" i="2"/>
  <c r="M84" i="2"/>
  <c r="K83" i="2"/>
  <c r="M81" i="2"/>
  <c r="M72" i="2"/>
  <c r="M64" i="2"/>
  <c r="I22" i="2"/>
  <c r="I20" i="2" s="1"/>
  <c r="K22" i="2"/>
  <c r="K40" i="4"/>
  <c r="K38" i="4"/>
  <c r="M38" i="4" s="1"/>
  <c r="K34" i="4"/>
  <c r="N34" i="4" s="1"/>
  <c r="G26" i="4"/>
  <c r="I26" i="4"/>
  <c r="K26" i="4"/>
  <c r="G19" i="4"/>
  <c r="I19" i="4"/>
  <c r="K19" i="4"/>
  <c r="G17" i="4"/>
  <c r="I17" i="4"/>
  <c r="K17" i="4"/>
  <c r="M17" i="4" s="1"/>
  <c r="N14" i="4"/>
  <c r="G13" i="4"/>
  <c r="I13" i="4"/>
  <c r="K13" i="4"/>
  <c r="M13" i="4" s="1"/>
  <c r="K61" i="2" l="1"/>
  <c r="K54" i="2" s="1"/>
  <c r="I61" i="2"/>
  <c r="I54" i="2" s="1"/>
  <c r="N44" i="4"/>
  <c r="N23" i="4"/>
  <c r="N19" i="4"/>
  <c r="N17" i="4"/>
  <c r="M44" i="4"/>
  <c r="N40" i="4"/>
  <c r="M23" i="4"/>
  <c r="N26" i="4"/>
  <c r="M19" i="4"/>
  <c r="G28" i="4"/>
  <c r="I28" i="4"/>
  <c r="N13" i="4"/>
  <c r="K28" i="4"/>
  <c r="K46" i="2"/>
  <c r="M48" i="2"/>
  <c r="I46" i="2"/>
  <c r="I19" i="2" s="1"/>
  <c r="M57" i="2"/>
  <c r="M52" i="2"/>
  <c r="M40" i="4"/>
  <c r="N38" i="4"/>
  <c r="M34" i="4"/>
  <c r="M26" i="4"/>
  <c r="R101" i="3"/>
  <c r="S101" i="3"/>
  <c r="S62" i="3"/>
  <c r="S60" i="3"/>
  <c r="S58" i="3"/>
  <c r="O15" i="5" l="1"/>
  <c r="P15" i="5"/>
  <c r="L110" i="3"/>
  <c r="L109" i="3" s="1"/>
  <c r="N110" i="3"/>
  <c r="N109" i="3" s="1"/>
  <c r="P110" i="3"/>
  <c r="P109" i="3" s="1"/>
  <c r="S111" i="3"/>
  <c r="R111" i="3"/>
  <c r="N61" i="3"/>
  <c r="L61" i="3"/>
  <c r="P61" i="3"/>
  <c r="R63" i="3"/>
  <c r="S61" i="3" l="1"/>
  <c r="L87" i="3"/>
  <c r="O12" i="5"/>
  <c r="P12" i="5"/>
  <c r="O13" i="5"/>
  <c r="P13" i="5"/>
  <c r="S110" i="3"/>
  <c r="S109" i="3"/>
  <c r="R109" i="3"/>
  <c r="G21" i="1"/>
  <c r="R110" i="3" l="1"/>
  <c r="G25" i="1"/>
  <c r="N19" i="1"/>
  <c r="N20" i="1"/>
  <c r="N31" i="1"/>
  <c r="N32" i="1"/>
  <c r="N33" i="1"/>
  <c r="M19" i="1"/>
  <c r="M31" i="1"/>
  <c r="M32" i="1"/>
  <c r="M33" i="1"/>
  <c r="K21" i="1" l="1"/>
  <c r="I24" i="1" l="1"/>
  <c r="N23" i="1" l="1"/>
  <c r="K24" i="1"/>
  <c r="M130" i="2"/>
  <c r="M127" i="2"/>
  <c r="M110" i="2"/>
  <c r="M108" i="2"/>
  <c r="M101" i="2"/>
  <c r="M89" i="2"/>
  <c r="M88" i="2"/>
  <c r="M58" i="2"/>
  <c r="M59" i="2"/>
  <c r="M60" i="2"/>
  <c r="K25" i="1" l="1"/>
  <c r="K37" i="1" s="1"/>
  <c r="K35" i="1"/>
  <c r="I25" i="1"/>
  <c r="N21" i="1"/>
  <c r="I125" i="2"/>
  <c r="I121" i="2" s="1"/>
  <c r="K125" i="2"/>
  <c r="M132" i="2"/>
  <c r="N24" i="1"/>
  <c r="N22" i="1"/>
  <c r="M22" i="1"/>
  <c r="M107" i="2"/>
  <c r="R66" i="3"/>
  <c r="M23" i="1"/>
  <c r="M20" i="1"/>
  <c r="M35" i="1" l="1"/>
  <c r="N35" i="1"/>
  <c r="N37" i="1"/>
  <c r="M37" i="1"/>
  <c r="M125" i="2"/>
  <c r="K121" i="2"/>
  <c r="M21" i="1"/>
  <c r="M24" i="1"/>
  <c r="M18" i="1"/>
  <c r="N16" i="4" l="1"/>
  <c r="M15" i="4"/>
  <c r="M25" i="2"/>
  <c r="M63" i="2" l="1"/>
  <c r="M25" i="1" l="1"/>
  <c r="N24" i="3" l="1"/>
  <c r="N16" i="3"/>
  <c r="P16" i="3"/>
  <c r="L24" i="3"/>
  <c r="P24" i="3"/>
  <c r="S16" i="3" l="1"/>
  <c r="N43" i="3"/>
  <c r="R26" i="3"/>
  <c r="M14" i="4" l="1"/>
  <c r="L107" i="3" l="1"/>
  <c r="L99" i="3"/>
  <c r="L97" i="3"/>
  <c r="L96" i="3" s="1"/>
  <c r="L77" i="3"/>
  <c r="L70" i="3"/>
  <c r="L65" i="3"/>
  <c r="L59" i="3"/>
  <c r="L57" i="3"/>
  <c r="L51" i="3"/>
  <c r="L50" i="3" s="1"/>
  <c r="L49" i="3" s="1"/>
  <c r="L43" i="3"/>
  <c r="L41" i="3" s="1"/>
  <c r="L38" i="3"/>
  <c r="L36" i="3"/>
  <c r="L22" i="3"/>
  <c r="L16" i="3"/>
  <c r="L14" i="3" l="1"/>
  <c r="L34" i="3"/>
  <c r="L103" i="3"/>
  <c r="L102" i="3" s="1"/>
  <c r="L56" i="3"/>
  <c r="L64" i="3"/>
  <c r="L55" i="3" l="1"/>
  <c r="L112" i="3" s="1"/>
  <c r="L13" i="3"/>
  <c r="L53" i="3" s="1"/>
  <c r="M131" i="2"/>
  <c r="M118" i="2"/>
  <c r="R52" i="3" l="1"/>
  <c r="S52" i="3"/>
  <c r="M134" i="2"/>
  <c r="M129" i="2"/>
  <c r="M113" i="2"/>
  <c r="M100" i="2"/>
  <c r="M96" i="2"/>
  <c r="M56" i="2"/>
  <c r="M47" i="2"/>
  <c r="N99" i="3"/>
  <c r="R65" i="3"/>
  <c r="R24" i="3"/>
  <c r="S100" i="3" l="1"/>
  <c r="P99" i="3"/>
  <c r="R100" i="3"/>
  <c r="S28" i="3"/>
  <c r="S26" i="3"/>
  <c r="S99" i="3" l="1"/>
  <c r="R99" i="3"/>
  <c r="R16" i="3"/>
  <c r="R28" i="3"/>
  <c r="S24" i="3" l="1"/>
  <c r="M102" i="2"/>
  <c r="M97" i="2"/>
  <c r="M99" i="2" l="1"/>
  <c r="S40" i="3" l="1"/>
  <c r="R40" i="3"/>
  <c r="S37" i="3"/>
  <c r="R37" i="3"/>
  <c r="R45" i="3"/>
  <c r="S45" i="3"/>
  <c r="R47" i="3"/>
  <c r="S47" i="3"/>
  <c r="S33" i="3"/>
  <c r="R33" i="3"/>
  <c r="S23" i="3"/>
  <c r="R23" i="3"/>
  <c r="R105" i="3"/>
  <c r="S105" i="3"/>
  <c r="R106" i="3"/>
  <c r="S106" i="3"/>
  <c r="R108" i="3"/>
  <c r="S108" i="3"/>
  <c r="S88" i="3"/>
  <c r="R88" i="3"/>
  <c r="R91" i="3"/>
  <c r="S91" i="3"/>
  <c r="R92" i="3"/>
  <c r="S92" i="3"/>
  <c r="R93" i="3"/>
  <c r="S93" i="3"/>
  <c r="R94" i="3"/>
  <c r="S94" i="3"/>
  <c r="R95" i="3"/>
  <c r="S95" i="3"/>
  <c r="R98" i="3"/>
  <c r="S98" i="3"/>
  <c r="S90" i="3"/>
  <c r="R90" i="3"/>
  <c r="R58" i="3"/>
  <c r="R60" i="3"/>
  <c r="R62" i="3"/>
  <c r="S66" i="3"/>
  <c r="R67" i="3"/>
  <c r="S67" i="3"/>
  <c r="R68" i="3"/>
  <c r="S68" i="3"/>
  <c r="R69" i="3"/>
  <c r="S69" i="3"/>
  <c r="R71" i="3"/>
  <c r="S71" i="3"/>
  <c r="R72" i="3"/>
  <c r="S72" i="3"/>
  <c r="R73" i="3"/>
  <c r="S73" i="3"/>
  <c r="R74" i="3"/>
  <c r="S74" i="3"/>
  <c r="R75" i="3"/>
  <c r="S75" i="3"/>
  <c r="R76" i="3"/>
  <c r="S76" i="3"/>
  <c r="R78" i="3"/>
  <c r="S78" i="3"/>
  <c r="R79" i="3"/>
  <c r="S79" i="3"/>
  <c r="R80" i="3"/>
  <c r="S80" i="3"/>
  <c r="R81" i="3"/>
  <c r="S81" i="3"/>
  <c r="R82" i="3"/>
  <c r="S82" i="3"/>
  <c r="R83" i="3"/>
  <c r="S83" i="3"/>
  <c r="R84" i="3"/>
  <c r="S84" i="3"/>
  <c r="R85" i="3"/>
  <c r="S85" i="3"/>
  <c r="R86" i="3"/>
  <c r="S86" i="3"/>
  <c r="M116" i="2"/>
  <c r="M117" i="2"/>
  <c r="M119" i="2"/>
  <c r="M115" i="2"/>
  <c r="M73" i="2"/>
  <c r="M78" i="2"/>
  <c r="M82" i="2"/>
  <c r="M85" i="2"/>
  <c r="M90" i="2"/>
  <c r="M91" i="2"/>
  <c r="M93" i="2"/>
  <c r="M65" i="2"/>
  <c r="M136" i="2"/>
  <c r="M126" i="2"/>
  <c r="M140" i="2"/>
  <c r="M50" i="2"/>
  <c r="M51" i="2"/>
  <c r="M53" i="2"/>
  <c r="M49" i="2"/>
  <c r="S18" i="3"/>
  <c r="S20" i="3"/>
  <c r="R18" i="3"/>
  <c r="R20" i="3"/>
  <c r="N25" i="1" l="1"/>
  <c r="M137" i="2"/>
  <c r="M121" i="2"/>
  <c r="K111" i="2"/>
  <c r="M112" i="2"/>
  <c r="I111" i="2"/>
  <c r="M95" i="2"/>
  <c r="M86" i="2"/>
  <c r="M83" i="2"/>
  <c r="M76" i="2"/>
  <c r="M71" i="2"/>
  <c r="M55" i="2"/>
  <c r="M46" i="2"/>
  <c r="I120" i="2"/>
  <c r="K120" i="2"/>
  <c r="M23" i="2"/>
  <c r="M24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I18" i="2" l="1"/>
  <c r="M61" i="2"/>
  <c r="M120" i="2"/>
  <c r="M111" i="2"/>
  <c r="M54" i="2"/>
  <c r="M27" i="4"/>
  <c r="K20" i="2" l="1"/>
  <c r="M22" i="2"/>
  <c r="M47" i="4"/>
  <c r="M37" i="4"/>
  <c r="N37" i="4"/>
  <c r="M39" i="4"/>
  <c r="M41" i="4"/>
  <c r="N41" i="4"/>
  <c r="M42" i="4"/>
  <c r="N42" i="4"/>
  <c r="M43" i="4"/>
  <c r="N43" i="4"/>
  <c r="M45" i="4"/>
  <c r="N45" i="4"/>
  <c r="M46" i="4"/>
  <c r="N46" i="4"/>
  <c r="N36" i="4"/>
  <c r="M36" i="4"/>
  <c r="N35" i="4"/>
  <c r="M35" i="4"/>
  <c r="M16" i="4"/>
  <c r="M18" i="4"/>
  <c r="N18" i="4"/>
  <c r="M20" i="4"/>
  <c r="N20" i="4"/>
  <c r="M21" i="4"/>
  <c r="N21" i="4"/>
  <c r="M22" i="4"/>
  <c r="N22" i="4"/>
  <c r="M24" i="4"/>
  <c r="N24" i="4"/>
  <c r="M25" i="4"/>
  <c r="N25" i="4"/>
  <c r="N27" i="4"/>
  <c r="N15" i="4"/>
  <c r="M20" i="2" l="1"/>
  <c r="K19" i="2"/>
  <c r="K18" i="2" s="1"/>
  <c r="M28" i="4"/>
  <c r="N28" i="4"/>
  <c r="N47" i="4"/>
  <c r="M18" i="2" l="1"/>
  <c r="M19" i="2"/>
  <c r="N97" i="3"/>
  <c r="N96" i="3" s="1"/>
  <c r="P97" i="3"/>
  <c r="N107" i="3"/>
  <c r="P107" i="3"/>
  <c r="N87" i="3"/>
  <c r="N57" i="3"/>
  <c r="P57" i="3"/>
  <c r="S57" i="3" s="1"/>
  <c r="N59" i="3"/>
  <c r="P59" i="3"/>
  <c r="R61" i="3"/>
  <c r="N65" i="3"/>
  <c r="N70" i="3"/>
  <c r="P70" i="3"/>
  <c r="N77" i="3"/>
  <c r="P77" i="3"/>
  <c r="P87" i="3"/>
  <c r="S59" i="3" l="1"/>
  <c r="P56" i="3"/>
  <c r="N103" i="3"/>
  <c r="N102" i="3" s="1"/>
  <c r="N56" i="3"/>
  <c r="P103" i="3"/>
  <c r="P102" i="3" s="1"/>
  <c r="R104" i="3"/>
  <c r="S104" i="3"/>
  <c r="N64" i="3"/>
  <c r="R87" i="3"/>
  <c r="S87" i="3"/>
  <c r="R70" i="3"/>
  <c r="S70" i="3"/>
  <c r="R97" i="3"/>
  <c r="S97" i="3"/>
  <c r="S77" i="3"/>
  <c r="R77" i="3"/>
  <c r="R107" i="3"/>
  <c r="S107" i="3"/>
  <c r="R59" i="3"/>
  <c r="R57" i="3"/>
  <c r="P96" i="3"/>
  <c r="P64" i="3"/>
  <c r="S65" i="3"/>
  <c r="N51" i="3"/>
  <c r="N50" i="3" s="1"/>
  <c r="N49" i="3" s="1"/>
  <c r="P51" i="3"/>
  <c r="N41" i="3"/>
  <c r="N38" i="3"/>
  <c r="P38" i="3"/>
  <c r="N36" i="3"/>
  <c r="P36" i="3"/>
  <c r="N22" i="3"/>
  <c r="N14" i="3" s="1"/>
  <c r="P22" i="3"/>
  <c r="P14" i="3" s="1"/>
  <c r="N55" i="3" l="1"/>
  <c r="N112" i="3" s="1"/>
  <c r="P55" i="3"/>
  <c r="R56" i="3"/>
  <c r="S56" i="3"/>
  <c r="S64" i="3"/>
  <c r="R64" i="3"/>
  <c r="S102" i="3"/>
  <c r="S22" i="3"/>
  <c r="R96" i="3"/>
  <c r="S96" i="3"/>
  <c r="R22" i="3"/>
  <c r="S32" i="3"/>
  <c r="R32" i="3"/>
  <c r="S51" i="3"/>
  <c r="R51" i="3"/>
  <c r="P34" i="3"/>
  <c r="S36" i="3"/>
  <c r="R36" i="3"/>
  <c r="S38" i="3"/>
  <c r="R38" i="3"/>
  <c r="P41" i="3"/>
  <c r="R43" i="3"/>
  <c r="S43" i="3"/>
  <c r="R103" i="3"/>
  <c r="S103" i="3"/>
  <c r="P50" i="3"/>
  <c r="P49" i="3" s="1"/>
  <c r="N34" i="3"/>
  <c r="N13" i="3" l="1"/>
  <c r="N53" i="3" s="1"/>
  <c r="P112" i="3"/>
  <c r="P13" i="3"/>
  <c r="P53" i="3" s="1"/>
  <c r="S14" i="3"/>
  <c r="R14" i="3"/>
  <c r="R102" i="3"/>
  <c r="S34" i="3"/>
  <c r="R34" i="3"/>
  <c r="S41" i="3"/>
  <c r="R41" i="3"/>
  <c r="S30" i="3"/>
  <c r="R30" i="3"/>
  <c r="S55" i="3"/>
  <c r="S50" i="3"/>
  <c r="R50" i="3"/>
  <c r="R55" i="3"/>
  <c r="S112" i="3" l="1"/>
  <c r="R112" i="3"/>
  <c r="S13" i="3"/>
  <c r="R13" i="3"/>
  <c r="S49" i="3"/>
  <c r="R49" i="3"/>
  <c r="R53" i="3" l="1"/>
  <c r="S53" i="3"/>
</calcChain>
</file>

<file path=xl/sharedStrings.xml><?xml version="1.0" encoding="utf-8"?>
<sst xmlns="http://schemas.openxmlformats.org/spreadsheetml/2006/main" count="418" uniqueCount="244">
  <si>
    <t>I. OPĆI DIO</t>
  </si>
  <si>
    <t>PRIHODI I RASHODI</t>
  </si>
  <si>
    <t>6 Prihodi poslovanja</t>
  </si>
  <si>
    <t>7 Prihodi od prodaje nefinancijske imovine</t>
  </si>
  <si>
    <t>PRIHODI UKUPNO</t>
  </si>
  <si>
    <t>3 Rashodi poslovanja</t>
  </si>
  <si>
    <t>4 Rashodi za nabavu nefinancijske imovine</t>
  </si>
  <si>
    <t>RASHODI UKUPNO</t>
  </si>
  <si>
    <t>Razlika – višak/ manjak</t>
  </si>
  <si>
    <t>5 Izdaci za financijsku imovinu i otplate zajmova</t>
  </si>
  <si>
    <t>8 Primici od financijske imovine i zaduživanja</t>
  </si>
  <si>
    <t>9 Preneseni višak prethodnih godina</t>
  </si>
  <si>
    <t>Antuna Gustava Matoša 40, 23000 Zadar</t>
  </si>
  <si>
    <t>OIB: 91757782000 // RKP: 19773</t>
  </si>
  <si>
    <t>Hotelijersko – turistička i ugostiteljska škola Zadar</t>
  </si>
  <si>
    <t>Glava: 030-05 SREDNJOŠKOLSKO OBRAZOVANJE</t>
  </si>
  <si>
    <t>Aktivnost: A2204-01 Djelatnost srednjih škola</t>
  </si>
  <si>
    <t>Izvor financiranje: 451 F.P. i dodatni udio u porezu na dohodak</t>
  </si>
  <si>
    <t>Brojčana oznaka i naziv računa prihoda i rashoda</t>
  </si>
  <si>
    <t>Pomoći iz inozemstva i od subjekata unutar općeg proračuna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</si>
  <si>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</si>
  <si>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</si>
  <si>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</si>
  <si>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upravnih i administrativnih pristojbi, pristojbi po posebnim propisima i naknada</t>
  </si>
  <si>
    <t>Prihodi po posebnim propisima</t>
  </si>
  <si>
    <t>Ostali nespomenuti prihodi</t>
  </si>
  <si>
    <t>Prihodi od prodaje proizvoda i robe te pruženih usluga</t>
  </si>
  <si>
    <t>Prihodi od pruženih usluga</t>
  </si>
  <si>
    <t>Tekuće donacije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</si>
  <si>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</si>
  <si>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</si>
  <si>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</si>
  <si>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VLASTITI IZVORI</t>
  </si>
  <si>
    <t>Pomoći temeljem prijenosa EU sredstava</t>
  </si>
  <si>
    <t>Prihodi od prodaje proizvoda i robe te pruženih usluga i prihodi od donacija</t>
  </si>
  <si>
    <t>Donacije od pravnih i fizičkih osoba izvan općeg proračuna</t>
  </si>
  <si>
    <t>Prihodi iz nadležnog proračuna za financiranje rashoda za nabavu nefinancijske imovine</t>
  </si>
  <si>
    <t>Rezultat poslovanja</t>
  </si>
  <si>
    <t>Višak prihoda</t>
  </si>
  <si>
    <t>Višak/manjak prihoda</t>
  </si>
  <si>
    <t>Indeks</t>
  </si>
  <si>
    <t>PRIHODI POSLOVANJA</t>
  </si>
  <si>
    <t>RASHODI POSLOVANJA</t>
  </si>
  <si>
    <t>SVEUKUPNO RASHODI</t>
  </si>
  <si>
    <t>Rashodi za zaposlene</t>
  </si>
  <si>
    <t>Plaće (Bruto)</t>
  </si>
  <si>
    <t>Plaće za redovan rad</t>
  </si>
  <si>
    <t>Ostali rashodi za zaposlene</t>
  </si>
  <si>
    <t>Doprinosi na plaće</t>
  </si>
  <si>
    <t>Doprinosi za obvezno zdravstveno osiguranje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</si>
  <si>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</si>
  <si>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</si>
  <si>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</si>
  <si>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</si>
  <si>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</si>
  <si>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</si>
  <si>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</si>
  <si>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</si>
  <si>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</si>
  <si>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</si>
  <si>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</si>
  <si>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</si>
  <si>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</si>
  <si>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</si>
  <si>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</si>
  <si>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</si>
  <si>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</si>
  <si>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</si>
  <si>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</si>
  <si>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</si>
  <si>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predstavničkih i izvršnih tijela, povjerenstava i slično</t>
  </si>
  <si>
    <t>Premije osiguranja</t>
  </si>
  <si>
    <t>Reprezentacija</t>
  </si>
  <si>
    <t>Članarine</t>
  </si>
  <si>
    <t>Pristojbe i naknade</t>
  </si>
  <si>
    <t>Troškovi sudskih postupaka</t>
  </si>
  <si>
    <t>Financijski rashodi</t>
  </si>
  <si>
    <t>Zatezne kamate</t>
  </si>
  <si>
    <t>Rashodi za nabavu proizvedene dugotrajne imovine</t>
  </si>
  <si>
    <t>Postrojenja i oprema</t>
  </si>
  <si>
    <t>Uređaji, strojevi i oprema za ostale namjene</t>
  </si>
  <si>
    <t>Knjige, umjetnička djela i ostale izložbene vrijednosti</t>
  </si>
  <si>
    <t>Knjige</t>
  </si>
  <si>
    <t>RASHODI ZA NABAVU NEFINANCIJSKE IMOVINE</t>
  </si>
  <si>
    <t>Ostale naknade troškova zaposlenima</t>
  </si>
  <si>
    <t>Materijal i sirovine</t>
  </si>
  <si>
    <t>Komunalne usluge</t>
  </si>
  <si>
    <t>Usluge promidžbe i informiranja</t>
  </si>
  <si>
    <t>Članarine i norme</t>
  </si>
  <si>
    <t>Ostali financijski rashodi</t>
  </si>
  <si>
    <t>Uredska oprema i namještaj</t>
  </si>
  <si>
    <t>Naknade za prijevoz na posao i s posla</t>
  </si>
  <si>
    <t>Materijali  i sirovine</t>
  </si>
  <si>
    <t>Materijali i dijelovi za tekuće i investicijsko održavanje</t>
  </si>
  <si>
    <t>Doprinosi za OZO</t>
  </si>
  <si>
    <t>Naknada za prijevoz</t>
  </si>
  <si>
    <t>Aktivnost: A2204-07 Administracija i upravljanje</t>
  </si>
  <si>
    <t>Izvor financiranje: 51036 Državni proračun</t>
  </si>
  <si>
    <t>Novčana nak. posl. zbog nezapošljavanje osobe s inv.</t>
  </si>
  <si>
    <t>Program: 2204 SREDNJE ŠKOLSTVO – STANDARD</t>
  </si>
  <si>
    <t>Program: 2205 SREDNJE ŠKOLSTVO – IZNAD STANDARD</t>
  </si>
  <si>
    <t>Aktivnost: A2205-01 Javne potrebe u prosvjeti - korisnici u SŠ</t>
  </si>
  <si>
    <t>Izvor financiranje: 110 Opći prihodi i primici</t>
  </si>
  <si>
    <t>Aktivnost: A2205-12 Podizanje kvalitete i standarda u školstvu</t>
  </si>
  <si>
    <t>Izvor financiranje: 5103 Državni proračun</t>
  </si>
  <si>
    <t>Naknade predst. i izvršnim tijelima povjerenstav i sl.</t>
  </si>
  <si>
    <t>Knjge</t>
  </si>
  <si>
    <t>Izvor financiranje: 41 Prihodi za posebne namjene</t>
  </si>
  <si>
    <t>Izvor financiranje: 31 Vlastiti prihodi - korisnici</t>
  </si>
  <si>
    <t>Izvor financiranje: 42035 Višak prihoda poslovanja</t>
  </si>
  <si>
    <t>Izvor financiranje: 51037 Državni proračun</t>
  </si>
  <si>
    <t>Aktivnost: A2205-22 Natjecanja i smotre u SŠ</t>
  </si>
  <si>
    <t>Ostali nespomenuti rashodi</t>
  </si>
  <si>
    <t>Program: 4301 RAZVOJNI PROJEKT EU</t>
  </si>
  <si>
    <t>Tekući projekt: T4301-67 Projekt Pomoćnici u nastavi</t>
  </si>
  <si>
    <t>Doprinosi za plaće</t>
  </si>
  <si>
    <t>Program: 4306 NACIONALNI EU PROJEKTI</t>
  </si>
  <si>
    <t>Tekući projekt: T4306-03 Inkluzija – korak bliže društvu bez prepreka 2021./2022.</t>
  </si>
  <si>
    <t>Naknade za prijevoz</t>
  </si>
  <si>
    <t>Tekući projekt: T4306-16 Projekt Erasmus+ Različiti zajedno</t>
  </si>
  <si>
    <t xml:space="preserve">Prihodi za posebne namjene </t>
  </si>
  <si>
    <t>UKUPNO</t>
  </si>
  <si>
    <t>Opći prihodi i primici</t>
  </si>
  <si>
    <t>Višak/manjak prihoda - ZŽ</t>
  </si>
  <si>
    <t>Predfinanciranje iz ŽP</t>
  </si>
  <si>
    <t>Vlastiti prihodi - korisnici</t>
  </si>
  <si>
    <t>Višak/manjak prihoda korisnici</t>
  </si>
  <si>
    <t>F.P. i dod. udio u por. na dohodak</t>
  </si>
  <si>
    <t>Državni proračun</t>
  </si>
  <si>
    <t>Pomoći iz inozemstva</t>
  </si>
  <si>
    <t>Tekuće donacije - korisnici</t>
  </si>
  <si>
    <t>PRIHODI PO IZVORIMA FINANCIRANJA</t>
  </si>
  <si>
    <t>šifra:</t>
  </si>
  <si>
    <t>Izvor financiranja:</t>
  </si>
  <si>
    <t>IF 51</t>
  </si>
  <si>
    <t>IF 54</t>
  </si>
  <si>
    <t>IF 19</t>
  </si>
  <si>
    <t>IF 11</t>
  </si>
  <si>
    <t>Prijenosi između proračunskih korisnika istog proračuna</t>
  </si>
  <si>
    <t>Tekući prijenosi između proračunskih korisnika istog proračuna temeljem prijenosa EU sredstava</t>
  </si>
  <si>
    <t>Tekući prijenosi između proračunskih korisnika istog proračuna</t>
  </si>
  <si>
    <t>Ostali rashodi</t>
  </si>
  <si>
    <t>Dopirnosi na plaće</t>
  </si>
  <si>
    <r>
      <t>5/2</t>
    </r>
    <r>
      <rPr>
        <b/>
        <sz val="11"/>
        <color theme="4" tint="0.39997558519241921"/>
        <rFont val="Calibri"/>
        <family val="2"/>
        <charset val="238"/>
        <scheme val="minor"/>
      </rPr>
      <t>.</t>
    </r>
  </si>
  <si>
    <r>
      <t>5/3</t>
    </r>
    <r>
      <rPr>
        <b/>
        <sz val="11"/>
        <color theme="4" tint="0.39997558519241921"/>
        <rFont val="Calibri"/>
        <family val="2"/>
        <charset val="238"/>
        <scheme val="minor"/>
      </rPr>
      <t>.</t>
    </r>
  </si>
  <si>
    <r>
      <t>5/4</t>
    </r>
    <r>
      <rPr>
        <b/>
        <sz val="11"/>
        <color theme="4" tint="0.39997558519241921"/>
        <rFont val="Calibri"/>
        <family val="2"/>
        <charset val="238"/>
        <scheme val="minor"/>
      </rPr>
      <t>.</t>
    </r>
  </si>
  <si>
    <t>Ostvarenje/ izvršenje 2023.</t>
  </si>
  <si>
    <t>Izvršenje 2023.</t>
  </si>
  <si>
    <t>Uredski materijal</t>
  </si>
  <si>
    <t>Aktivnost: A2205-34 Projekt e-škole</t>
  </si>
  <si>
    <t>110 Opći prihodi i primici</t>
  </si>
  <si>
    <t>Intelektualne usluge</t>
  </si>
  <si>
    <t>Aktivnost: A2205-37 Zalihe menstrualnih higijenskih potrepština</t>
  </si>
  <si>
    <t>Izvor financiranje: 511904 Državni proračun</t>
  </si>
  <si>
    <t>Na temelju Zakona o proračunu ("Narodne novine" broj 144/21) i Pravilnika o polugodišnjem i godišnjem izvještaju o izvršenju proračuna i financijskog plana ("Narodne novine" broj 85/23) HOTELIJERSKO – TURISTIČKA I UGOSTITELJSKA ŠKOLA ZADAR podnosi školskom odboru:</t>
  </si>
  <si>
    <t>A. SAŽETAK RAČUNA PRIHODA I RASHODA</t>
  </si>
  <si>
    <t>B. SAŽETAK RAČUNA FINANCIRANJA</t>
  </si>
  <si>
    <t>UKUPNO PRIHODI + VIŠAK KORIŠTEN ZA POKRIĆE RASHODA</t>
  </si>
  <si>
    <t>Doprinosi za obvezno osiguranje u slučaju nezaposlenosti</t>
  </si>
  <si>
    <t>Rashodi za dodatna ulaganja na nefinancijskoj imovini</t>
  </si>
  <si>
    <t>Dodatna ulaganja na građevinskim objektima</t>
  </si>
  <si>
    <t>Brojčana oznaka i naziv</t>
  </si>
  <si>
    <t>09</t>
  </si>
  <si>
    <t>Obrazovanje</t>
  </si>
  <si>
    <t>Srednjoškolsko obrazovanje</t>
  </si>
  <si>
    <t>092</t>
  </si>
  <si>
    <t>0922</t>
  </si>
  <si>
    <t>Više srednjoškolsko obrazovanje</t>
  </si>
  <si>
    <r>
      <t>4/3</t>
    </r>
    <r>
      <rPr>
        <b/>
        <sz val="11"/>
        <color theme="4" tint="0.39997558519241921"/>
        <rFont val="Calibri"/>
        <family val="2"/>
        <charset val="238"/>
        <scheme val="minor"/>
      </rPr>
      <t>.</t>
    </r>
  </si>
  <si>
    <t>SAŽETAK RAČUNA PRIHODA I RASHODA I RAČUNA FINANCIRANJA</t>
  </si>
  <si>
    <t xml:space="preserve">I. OPĆI DIO </t>
  </si>
  <si>
    <t>GODIŠNJI IZVJEŠTAJ O PRIHODIMA I RASHODIMA PREMA EKONOMSKOJ KLASIFIKACIJI</t>
  </si>
  <si>
    <t>RAČUN PRIHODA I RASHODA</t>
  </si>
  <si>
    <t>BROJČANA OZNAKA I NAZIV</t>
  </si>
  <si>
    <t>IZVJEŠTAJ O PRIHODIMA I RASHODIMA PREMA IZVORIMA FINANCIRANJA</t>
  </si>
  <si>
    <t>IZVJEŠTAJ O RASHODIMA PREMA FUNKCIJSKOJ KLASIFIKACIJI</t>
  </si>
  <si>
    <t>II. POSEBNI DIO</t>
  </si>
  <si>
    <t>IZVJEŠTAJ O IZVRŠENJU FINANCIJSKOG PLANA 2023. PREMA EKONOMSKOJ KLASIFIKACIJI, PROGRAMIMA TE IZVORIMA FINANCIRANJA</t>
  </si>
  <si>
    <t>Tekuće donacije u naravi</t>
  </si>
  <si>
    <t>HOTELIJERSKO – TURISTIČKA I UGOSTITELJSKA ŠKOLA ZADAR</t>
  </si>
  <si>
    <t>Vlatiti prihodi</t>
  </si>
  <si>
    <t>Pomoći</t>
  </si>
  <si>
    <t>Donacije</t>
  </si>
  <si>
    <t>Brojčana oznaka i naziv funkcijske klasifikacije</t>
  </si>
  <si>
    <t>RASHODI PO IZVORIMA FINANCIRANJA</t>
  </si>
  <si>
    <t>Materijal za hig. potrebe u njegu</t>
  </si>
  <si>
    <t>Izvori financiranja ukupno</t>
  </si>
  <si>
    <t>Vlastiti prihodi</t>
  </si>
  <si>
    <t>Prihodi za posebne namjene</t>
  </si>
  <si>
    <t>II. POSEBNI IZVJEŠTAJI</t>
  </si>
  <si>
    <t>IZVJEŠTAJ O KORIŠTENJU SREDSTAVA FONDOVA EUROPSKE UNIJE</t>
  </si>
  <si>
    <t>Ostali fondovi EU</t>
  </si>
  <si>
    <t>IZVJEŠTAJ O STANJU POTRAŽIVANJA I DOSPJELIH OBVEZA TE O STANJU POTENCIJALNIH OBVEZA PO OSNOVI SUDSKIH SPOROVA</t>
  </si>
  <si>
    <t>HOTELIJERSKO - TURISTIČKA I UGOSTITELJSKA ŠKOLA ZADAR - 19773</t>
  </si>
  <si>
    <t>Opis</t>
  </si>
  <si>
    <t>1.</t>
  </si>
  <si>
    <t>2.</t>
  </si>
  <si>
    <t>3.</t>
  </si>
  <si>
    <t>Od početka provedbe projekta</t>
  </si>
  <si>
    <t>RB</t>
  </si>
  <si>
    <t>Naziv projekta</t>
  </si>
  <si>
    <t>Fond financiranja projekta</t>
  </si>
  <si>
    <t>Program financiranja projekta</t>
  </si>
  <si>
    <t>Datum početka provedbe projekta</t>
  </si>
  <si>
    <t>Datum završetka provedbe projekta</t>
  </si>
  <si>
    <t>Ugovorena vrijednost projekta</t>
  </si>
  <si>
    <t>Ukupno uplaćena sredstva od početka provedbe projekta do 31.12.2023.</t>
  </si>
  <si>
    <t>Ukupno isplaćena sredstva od početka provedbe projekta do 31.12.2023.</t>
  </si>
  <si>
    <t xml:space="preserve">Stanje obveza </t>
  </si>
  <si>
    <t xml:space="preserve">Stanje potraživanja </t>
  </si>
  <si>
    <t>Erasmus+</t>
  </si>
  <si>
    <t>1. 9. 2022.</t>
  </si>
  <si>
    <t>29. 2. 2024.</t>
  </si>
  <si>
    <t xml:space="preserve">Erasmus+ Različiti zajedno </t>
  </si>
  <si>
    <t>2022-1-HR01-KA122-SCH-000075154</t>
  </si>
  <si>
    <t>Nenaplaćena potraživanja</t>
  </si>
  <si>
    <t>Dospjele obveze</t>
  </si>
  <si>
    <t>Potencijalne obveze po osnovi sudskih sporova</t>
  </si>
  <si>
    <t>GODIŠNJI IZVJEŠTAJ O IZVRŠENJU FINANCIJSKOG PLANA HOTELIJERSKO - TURISTIČKE I UGOSTITELJSKE ŠKOLE ZADAR ZA 2024. GODINU</t>
  </si>
  <si>
    <t>Tekući financijski plan 2024.</t>
  </si>
  <si>
    <t>Ostvarenje/ izvršenje 2024.</t>
  </si>
  <si>
    <t>Izvorni plan/ rebalans 2024.</t>
  </si>
  <si>
    <t>Tekući plan 2024.</t>
  </si>
  <si>
    <t>Izvršenje 2024.</t>
  </si>
  <si>
    <t>STANJE NA 31. 12. 2024.</t>
  </si>
  <si>
    <t>Stanja na dan 31.12.2024. godine</t>
  </si>
  <si>
    <t>Za 2024. godinu</t>
  </si>
  <si>
    <t>Prihodi projekta - 2024. godina</t>
  </si>
  <si>
    <t>Rashodi projekta - 2024. godina</t>
  </si>
  <si>
    <t>Aktivnost: T2205-35 Projektna dokumentacija - javne potrebe u SŠ</t>
  </si>
  <si>
    <t>IF 12</t>
  </si>
  <si>
    <t xml:space="preserve">Izvor financiranje: 12154, 12151, 190062, 195062, 110, 51038, 540099 - </t>
  </si>
  <si>
    <t xml:space="preserve">Višak prihoda - ZŽ, Predfinanciranje iz ŽP, </t>
  </si>
  <si>
    <t>Opći prihodi i primici Državni proračun, Pomoći iz inozemstva</t>
  </si>
  <si>
    <t>Izvor financiranje: 540231 Pomoći iz inozemstva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</si>
  <si>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</si>
  <si>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</si>
  <si>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</si>
  <si>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</si>
  <si>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</si>
  <si>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>UKUPNO PRIHODI</t>
  </si>
  <si>
    <t>096</t>
  </si>
  <si>
    <t>0960</t>
  </si>
  <si>
    <t>Dodatne usluge u obrazovanju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</si>
</sst>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??/10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4" tint="0.3999755851924192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3" fillId="3" borderId="18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1" fillId="2" borderId="23" xfId="0" applyFont="1" applyFill="1" applyBorder="1" applyAlignment="1">
      <alignment horizontal="center" vertical="center"/>
    </xf>
    <xf numFmtId="164" fontId="1" fillId="2" borderId="38" xfId="0" applyNumberFormat="1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164" fontId="1" fillId="2" borderId="26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" fontId="0" fillId="0" borderId="0" xfId="0" applyNumberFormat="1"/>
    <xf numFmtId="0" fontId="7" fillId="2" borderId="21" xfId="0" applyFont="1" applyFill="1" applyBorder="1" applyAlignment="1">
      <alignment horizontal="right" vertical="center" wrapText="1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0" fillId="0" borderId="17" xfId="0" applyBorder="1" applyAlignment="1">
      <alignment vertical="center"/>
    </xf>
    <xf numFmtId="4" fontId="0" fillId="0" borderId="0" xfId="0" applyNumberFormat="1" applyAlignment="1">
      <alignment horizontal="center"/>
    </xf>
    <xf numFmtId="4" fontId="1" fillId="0" borderId="21" xfId="0" applyNumberFormat="1" applyFont="1" applyBorder="1" applyAlignment="1">
      <alignment horizontal="right" vertical="center"/>
    </xf>
    <xf numFmtId="4" fontId="0" fillId="0" borderId="21" xfId="0" applyNumberFormat="1" applyBorder="1" applyAlignment="1">
      <alignment horizontal="right" vertical="center"/>
    </xf>
    <xf numFmtId="4" fontId="0" fillId="0" borderId="22" xfId="0" applyNumberFormat="1" applyBorder="1" applyAlignment="1">
      <alignment horizontal="right" vertical="center"/>
    </xf>
    <xf numFmtId="4" fontId="1" fillId="6" borderId="23" xfId="0" applyNumberFormat="1" applyFont="1" applyFill="1" applyBorder="1" applyAlignment="1">
      <alignment horizontal="right" vertical="center"/>
    </xf>
    <xf numFmtId="4" fontId="1" fillId="5" borderId="38" xfId="0" applyNumberFormat="1" applyFont="1" applyFill="1" applyBorder="1" applyAlignment="1">
      <alignment horizontal="right" vertical="center"/>
    </xf>
    <xf numFmtId="4" fontId="1" fillId="5" borderId="27" xfId="0" applyNumberFormat="1" applyFont="1" applyFill="1" applyBorder="1" applyAlignment="1">
      <alignment horizontal="right" vertical="center"/>
    </xf>
    <xf numFmtId="4" fontId="1" fillId="3" borderId="20" xfId="0" applyNumberFormat="1" applyFont="1" applyFill="1" applyBorder="1" applyAlignment="1">
      <alignment horizontal="right" vertical="center"/>
    </xf>
    <xf numFmtId="4" fontId="1" fillId="0" borderId="31" xfId="0" applyNumberFormat="1" applyFont="1" applyBorder="1" applyAlignment="1">
      <alignment vertical="center"/>
    </xf>
    <xf numFmtId="4" fontId="0" fillId="0" borderId="21" xfId="0" applyNumberFormat="1" applyFont="1" applyBorder="1" applyAlignment="1">
      <alignment horizontal="right" vertical="center"/>
    </xf>
    <xf numFmtId="0" fontId="3" fillId="3" borderId="29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30" xfId="0" applyFont="1" applyFill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0" fillId="0" borderId="28" xfId="0" applyBorder="1"/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  <xf numFmtId="0" fontId="1" fillId="0" borderId="0" xfId="0" applyFont="1" applyAlignment="1">
      <alignment horizontal="center"/>
    </xf>
    <xf numFmtId="0" fontId="3" fillId="3" borderId="33" xfId="0" applyFont="1" applyFill="1" applyBorder="1" applyAlignment="1">
      <alignment vertical="center" wrapText="1"/>
    </xf>
    <xf numFmtId="0" fontId="3" fillId="3" borderId="34" xfId="0" applyFont="1" applyFill="1" applyBorder="1" applyAlignment="1">
      <alignment vertical="center" wrapText="1"/>
    </xf>
    <xf numFmtId="4" fontId="1" fillId="3" borderId="21" xfId="0" applyNumberFormat="1" applyFont="1" applyFill="1" applyBorder="1" applyAlignment="1">
      <alignment horizontal="right"/>
    </xf>
    <xf numFmtId="4" fontId="0" fillId="0" borderId="21" xfId="0" applyNumberFormat="1" applyBorder="1" applyAlignment="1">
      <alignment horizontal="right"/>
    </xf>
    <xf numFmtId="4" fontId="1" fillId="0" borderId="22" xfId="0" applyNumberFormat="1" applyFont="1" applyBorder="1" applyAlignment="1">
      <alignment horizontal="right"/>
    </xf>
    <xf numFmtId="4" fontId="1" fillId="2" borderId="23" xfId="0" applyNumberFormat="1" applyFont="1" applyFill="1" applyBorder="1" applyAlignment="1">
      <alignment horizontal="center" vertical="center"/>
    </xf>
    <xf numFmtId="4" fontId="0" fillId="0" borderId="26" xfId="0" applyNumberFormat="1" applyBorder="1" applyAlignment="1">
      <alignment horizontal="right"/>
    </xf>
    <xf numFmtId="49" fontId="3" fillId="3" borderId="32" xfId="0" applyNumberFormat="1" applyFont="1" applyFill="1" applyBorder="1" applyAlignment="1">
      <alignment horizontal="right" vertical="center"/>
    </xf>
    <xf numFmtId="0" fontId="3" fillId="3" borderId="33" xfId="0" applyFont="1" applyFill="1" applyBorder="1" applyAlignment="1">
      <alignment vertical="center"/>
    </xf>
    <xf numFmtId="4" fontId="0" fillId="4" borderId="21" xfId="0" applyNumberFormat="1" applyFont="1" applyFill="1" applyBorder="1" applyAlignment="1">
      <alignment horizontal="right" vertical="center"/>
    </xf>
    <xf numFmtId="4" fontId="1" fillId="0" borderId="26" xfId="0" applyNumberFormat="1" applyFont="1" applyBorder="1" applyAlignment="1">
      <alignment horizontal="right" vertical="center"/>
    </xf>
    <xf numFmtId="4" fontId="0" fillId="0" borderId="26" xfId="0" applyNumberFormat="1" applyBorder="1" applyAlignment="1">
      <alignment horizontal="right" vertical="center"/>
    </xf>
    <xf numFmtId="4" fontId="1" fillId="3" borderId="27" xfId="0" applyNumberFormat="1" applyFont="1" applyFill="1" applyBorder="1" applyAlignment="1">
      <alignment horizontal="right" vertical="center"/>
    </xf>
    <xf numFmtId="0" fontId="1" fillId="0" borderId="0" xfId="0" applyFont="1" applyAlignment="1"/>
    <xf numFmtId="4" fontId="0" fillId="0" borderId="26" xfId="0" applyNumberFormat="1" applyBorder="1" applyAlignment="1">
      <alignment horizontal="right" vertical="center"/>
    </xf>
    <xf numFmtId="4" fontId="1" fillId="0" borderId="26" xfId="0" applyNumberFormat="1" applyFont="1" applyBorder="1" applyAlignment="1">
      <alignment horizontal="right" vertical="center"/>
    </xf>
    <xf numFmtId="0" fontId="1" fillId="7" borderId="43" xfId="0" applyFont="1" applyFill="1" applyBorder="1" applyAlignment="1">
      <alignment vertical="center"/>
    </xf>
    <xf numFmtId="0" fontId="1" fillId="7" borderId="40" xfId="0" applyFont="1" applyFill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4" fontId="1" fillId="0" borderId="20" xfId="0" applyNumberFormat="1" applyFont="1" applyBorder="1" applyAlignment="1">
      <alignment horizontal="right" vertical="center"/>
    </xf>
    <xf numFmtId="0" fontId="3" fillId="0" borderId="36" xfId="0" applyFont="1" applyBorder="1" applyAlignment="1">
      <alignment vertical="center"/>
    </xf>
    <xf numFmtId="0" fontId="1" fillId="7" borderId="39" xfId="0" applyFont="1" applyFill="1" applyBorder="1" applyAlignment="1">
      <alignment horizontal="right" vertical="center"/>
    </xf>
    <xf numFmtId="4" fontId="6" fillId="0" borderId="21" xfId="0" applyNumberFormat="1" applyFont="1" applyBorder="1" applyAlignment="1">
      <alignment horizontal="right" vertical="center"/>
    </xf>
    <xf numFmtId="4" fontId="10" fillId="0" borderId="21" xfId="0" applyNumberFormat="1" applyFont="1" applyBorder="1" applyAlignment="1">
      <alignment horizontal="right" vertical="center"/>
    </xf>
    <xf numFmtId="0" fontId="4" fillId="2" borderId="22" xfId="0" applyFont="1" applyFill="1" applyBorder="1" applyAlignment="1">
      <alignment horizontal="center"/>
    </xf>
    <xf numFmtId="0" fontId="3" fillId="4" borderId="13" xfId="0" applyFont="1" applyFill="1" applyBorder="1" applyAlignment="1">
      <alignment vertical="center" wrapText="1"/>
    </xf>
    <xf numFmtId="0" fontId="3" fillId="4" borderId="18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vertical="center" wrapText="1"/>
    </xf>
    <xf numFmtId="0" fontId="3" fillId="4" borderId="19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0" fillId="0" borderId="0" xfId="0"/>
    <xf numFmtId="0" fontId="1" fillId="0" borderId="0" xfId="0" applyFont="1"/>
    <xf numFmtId="0" fontId="11" fillId="0" borderId="0" xfId="0" applyFont="1"/>
    <xf numFmtId="0" fontId="0" fillId="0" borderId="38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4" borderId="20" xfId="0" applyFont="1" applyFill="1" applyBorder="1" applyAlignment="1">
      <alignment vertical="center"/>
    </xf>
    <xf numFmtId="0" fontId="3" fillId="4" borderId="21" xfId="0" applyFont="1" applyFill="1" applyBorder="1" applyAlignment="1">
      <alignment vertical="center"/>
    </xf>
    <xf numFmtId="0" fontId="3" fillId="4" borderId="22" xfId="0" applyFont="1" applyFill="1" applyBorder="1" applyAlignment="1">
      <alignment vertical="center"/>
    </xf>
    <xf numFmtId="0" fontId="3" fillId="4" borderId="33" xfId="0" applyFont="1" applyFill="1" applyBorder="1" applyAlignment="1">
      <alignment vertical="center"/>
    </xf>
    <xf numFmtId="0" fontId="3" fillId="4" borderId="34" xfId="0" applyFont="1" applyFill="1" applyBorder="1" applyAlignment="1">
      <alignment vertical="center"/>
    </xf>
    <xf numFmtId="0" fontId="3" fillId="4" borderId="13" xfId="0" applyFont="1" applyFill="1" applyBorder="1" applyAlignment="1">
      <alignment vertical="center"/>
    </xf>
    <xf numFmtId="0" fontId="3" fillId="4" borderId="17" xfId="0" applyFont="1" applyFill="1" applyBorder="1" applyAlignment="1">
      <alignment vertical="center"/>
    </xf>
    <xf numFmtId="4" fontId="1" fillId="0" borderId="26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4" fontId="1" fillId="4" borderId="21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right"/>
    </xf>
    <xf numFmtId="0" fontId="3" fillId="0" borderId="13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4" fontId="3" fillId="3" borderId="26" xfId="0" applyNumberFormat="1" applyFont="1" applyFill="1" applyBorder="1" applyAlignment="1">
      <alignment horizontal="right" vertical="center"/>
    </xf>
    <xf numFmtId="4" fontId="2" fillId="4" borderId="21" xfId="0" applyNumberFormat="1" applyFont="1" applyFill="1" applyBorder="1" applyAlignment="1">
      <alignment horizontal="right" vertical="center"/>
    </xf>
    <xf numFmtId="4" fontId="3" fillId="3" borderId="21" xfId="0" applyNumberFormat="1" applyFont="1" applyFill="1" applyBorder="1" applyAlignment="1">
      <alignment horizontal="right" vertical="center"/>
    </xf>
    <xf numFmtId="4" fontId="3" fillId="4" borderId="21" xfId="0" applyNumberFormat="1" applyFont="1" applyFill="1" applyBorder="1" applyAlignment="1">
      <alignment horizontal="right" vertical="center"/>
    </xf>
    <xf numFmtId="4" fontId="2" fillId="4" borderId="27" xfId="0" applyNumberFormat="1" applyFont="1" applyFill="1" applyBorder="1" applyAlignment="1">
      <alignment horizontal="right" vertical="center"/>
    </xf>
    <xf numFmtId="4" fontId="3" fillId="2" borderId="31" xfId="0" applyNumberFormat="1" applyFont="1" applyFill="1" applyBorder="1" applyAlignment="1">
      <alignment horizontal="right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4" fontId="3" fillId="3" borderId="20" xfId="0" applyNumberFormat="1" applyFont="1" applyFill="1" applyBorder="1" applyAlignment="1">
      <alignment horizontal="right" vertical="center"/>
    </xf>
    <xf numFmtId="4" fontId="3" fillId="0" borderId="21" xfId="0" applyNumberFormat="1" applyFont="1" applyBorder="1" applyAlignment="1">
      <alignment horizontal="right" vertical="center"/>
    </xf>
    <xf numFmtId="4" fontId="2" fillId="0" borderId="21" xfId="0" applyNumberFormat="1" applyFont="1" applyBorder="1" applyAlignment="1">
      <alignment horizontal="right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3" fillId="3" borderId="3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3" fillId="3" borderId="12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49" fontId="5" fillId="0" borderId="12" xfId="0" applyNumberFormat="1" applyFont="1" applyBorder="1" applyAlignment="1">
      <alignment horizontal="right" vertical="center"/>
    </xf>
    <xf numFmtId="0" fontId="9" fillId="0" borderId="13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49" fontId="3" fillId="0" borderId="12" xfId="0" applyNumberFormat="1" applyFont="1" applyBorder="1" applyAlignment="1">
      <alignment horizontal="right" vertical="center"/>
    </xf>
    <xf numFmtId="49" fontId="5" fillId="0" borderId="16" xfId="0" applyNumberFormat="1" applyFont="1" applyBorder="1" applyAlignment="1">
      <alignment horizontal="right" vertical="center"/>
    </xf>
    <xf numFmtId="0" fontId="5" fillId="0" borderId="17" xfId="0" applyFont="1" applyBorder="1" applyAlignment="1">
      <alignment vertical="center"/>
    </xf>
    <xf numFmtId="0" fontId="9" fillId="0" borderId="17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4" fontId="0" fillId="4" borderId="22" xfId="0" applyNumberFormat="1" applyFont="1" applyFill="1" applyBorder="1" applyAlignment="1">
      <alignment horizontal="right"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/>
    </xf>
    <xf numFmtId="4" fontId="0" fillId="0" borderId="14" xfId="0" applyNumberFormat="1" applyBorder="1" applyAlignment="1">
      <alignment horizontal="center" vertical="center"/>
    </xf>
    <xf numFmtId="4" fontId="0" fillId="0" borderId="25" xfId="0" applyNumberFormat="1" applyBorder="1" applyAlignment="1">
      <alignment horizontal="center" vertical="center"/>
    </xf>
    <xf numFmtId="4" fontId="0" fillId="0" borderId="12" xfId="0" applyNumberFormat="1" applyBorder="1" applyAlignment="1">
      <alignment horizontal="center" vertical="center"/>
    </xf>
    <xf numFmtId="4" fontId="0" fillId="0" borderId="18" xfId="0" applyNumberFormat="1" applyBorder="1" applyAlignment="1">
      <alignment horizontal="center" vertical="center"/>
    </xf>
    <xf numFmtId="4" fontId="1" fillId="3" borderId="12" xfId="0" applyNumberFormat="1" applyFont="1" applyFill="1" applyBorder="1" applyAlignment="1">
      <alignment horizontal="center"/>
    </xf>
    <xf numFmtId="4" fontId="1" fillId="3" borderId="18" xfId="0" applyNumberFormat="1" applyFont="1" applyFill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0" fontId="3" fillId="3" borderId="12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3" fillId="3" borderId="18" xfId="0" applyFont="1" applyFill="1" applyBorder="1" applyAlignment="1">
      <alignment horizontal="left"/>
    </xf>
    <xf numFmtId="4" fontId="1" fillId="0" borderId="16" xfId="0" applyNumberFormat="1" applyFont="1" applyBorder="1" applyAlignment="1">
      <alignment horizontal="center" vertical="center"/>
    </xf>
    <xf numFmtId="4" fontId="1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1" fillId="2" borderId="20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center" wrapText="1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wrapText="1"/>
    </xf>
    <xf numFmtId="0" fontId="12" fillId="2" borderId="39" xfId="0" applyFont="1" applyFill="1" applyBorder="1" applyAlignment="1">
      <alignment horizontal="center" vertical="center"/>
    </xf>
    <xf numFmtId="0" fontId="12" fillId="2" borderId="43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/>
    </xf>
    <xf numFmtId="0" fontId="12" fillId="2" borderId="43" xfId="0" applyFont="1" applyFill="1" applyBorder="1" applyAlignment="1">
      <alignment horizontal="center"/>
    </xf>
    <xf numFmtId="0" fontId="12" fillId="2" borderId="40" xfId="0" applyFont="1" applyFill="1" applyBorder="1" applyAlignment="1">
      <alignment horizontal="center"/>
    </xf>
    <xf numFmtId="4" fontId="5" fillId="0" borderId="12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4" fontId="12" fillId="2" borderId="31" xfId="0" applyNumberFormat="1" applyFont="1" applyFill="1" applyBorder="1" applyAlignment="1">
      <alignment horizontal="center"/>
    </xf>
    <xf numFmtId="4" fontId="3" fillId="3" borderId="12" xfId="0" applyNumberFormat="1" applyFont="1" applyFill="1" applyBorder="1" applyAlignment="1">
      <alignment horizontal="center" vertical="center"/>
    </xf>
    <xf numFmtId="4" fontId="3" fillId="3" borderId="13" xfId="0" applyNumberFormat="1" applyFont="1" applyFill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4" fontId="5" fillId="0" borderId="35" xfId="0" applyNumberFormat="1" applyFont="1" applyBorder="1" applyAlignment="1">
      <alignment horizontal="center" vertical="center"/>
    </xf>
    <xf numFmtId="4" fontId="5" fillId="0" borderId="37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4" fontId="5" fillId="0" borderId="25" xfId="0" applyNumberFormat="1" applyFont="1" applyBorder="1" applyAlignment="1">
      <alignment horizontal="center" vertical="center"/>
    </xf>
    <xf numFmtId="4" fontId="3" fillId="3" borderId="12" xfId="0" applyNumberFormat="1" applyFont="1" applyFill="1" applyBorder="1" applyAlignment="1">
      <alignment horizontal="center" vertical="center" wrapText="1"/>
    </xf>
    <xf numFmtId="4" fontId="3" fillId="3" borderId="18" xfId="0" applyNumberFormat="1" applyFont="1" applyFill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4" fontId="3" fillId="0" borderId="18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horizontal="center" vertical="center" wrapText="1"/>
    </xf>
    <xf numFmtId="4" fontId="5" fillId="0" borderId="35" xfId="0" applyNumberFormat="1" applyFont="1" applyBorder="1" applyAlignment="1">
      <alignment horizontal="center" vertical="center" wrapText="1"/>
    </xf>
    <xf numFmtId="4" fontId="5" fillId="0" borderId="37" xfId="0" applyNumberFormat="1" applyFont="1" applyBorder="1" applyAlignment="1">
      <alignment horizontal="center" vertical="center" wrapText="1"/>
    </xf>
    <xf numFmtId="4" fontId="3" fillId="3" borderId="32" xfId="0" applyNumberFormat="1" applyFont="1" applyFill="1" applyBorder="1" applyAlignment="1">
      <alignment horizontal="center" vertical="center"/>
    </xf>
    <xf numFmtId="4" fontId="3" fillId="3" borderId="34" xfId="0" applyNumberFormat="1" applyFont="1" applyFill="1" applyBorder="1" applyAlignment="1">
      <alignment horizontal="center" vertical="center"/>
    </xf>
    <xf numFmtId="4" fontId="3" fillId="0" borderId="35" xfId="0" applyNumberFormat="1" applyFont="1" applyBorder="1" applyAlignment="1">
      <alignment horizontal="center" vertical="center" wrapText="1"/>
    </xf>
    <xf numFmtId="4" fontId="3" fillId="0" borderId="37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4" fontId="3" fillId="0" borderId="25" xfId="0" applyNumberFormat="1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4" fontId="2" fillId="0" borderId="35" xfId="0" applyNumberFormat="1" applyFont="1" applyBorder="1" applyAlignment="1">
      <alignment horizontal="center" vertical="center" wrapText="1"/>
    </xf>
    <xf numFmtId="4" fontId="2" fillId="0" borderId="37" xfId="0" applyNumberFormat="1" applyFont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center" vertical="center" wrapText="1"/>
    </xf>
    <xf numFmtId="4" fontId="2" fillId="0" borderId="25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25" xfId="0" applyNumberFormat="1" applyFont="1" applyBorder="1" applyAlignment="1">
      <alignment horizontal="center" vertical="center" wrapText="1"/>
    </xf>
    <xf numFmtId="4" fontId="3" fillId="3" borderId="29" xfId="0" applyNumberFormat="1" applyFont="1" applyFill="1" applyBorder="1" applyAlignment="1">
      <alignment horizontal="center" vertical="center"/>
    </xf>
    <xf numFmtId="4" fontId="3" fillId="3" borderId="30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3" fillId="3" borderId="15" xfId="0" applyFont="1" applyFill="1" applyBorder="1" applyAlignment="1">
      <alignment vertical="center" wrapText="1"/>
    </xf>
    <xf numFmtId="0" fontId="3" fillId="3" borderId="25" xfId="0" applyFont="1" applyFill="1" applyBorder="1" applyAlignment="1">
      <alignment vertical="center" wrapText="1"/>
    </xf>
    <xf numFmtId="0" fontId="5" fillId="0" borderId="36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4" fontId="5" fillId="4" borderId="35" xfId="0" applyNumberFormat="1" applyFont="1" applyFill="1" applyBorder="1" applyAlignment="1">
      <alignment horizontal="center" vertical="center" wrapText="1"/>
    </xf>
    <xf numFmtId="4" fontId="5" fillId="4" borderId="37" xfId="0" applyNumberFormat="1" applyFont="1" applyFill="1" applyBorder="1" applyAlignment="1">
      <alignment horizontal="center" vertical="center" wrapText="1"/>
    </xf>
    <xf numFmtId="4" fontId="3" fillId="3" borderId="26" xfId="0" applyNumberFormat="1" applyFont="1" applyFill="1" applyBorder="1" applyAlignment="1">
      <alignment horizontal="center" vertical="center"/>
    </xf>
    <xf numFmtId="4" fontId="3" fillId="4" borderId="21" xfId="0" applyNumberFormat="1" applyFont="1" applyFill="1" applyBorder="1" applyAlignment="1">
      <alignment horizontal="right" vertical="center"/>
    </xf>
    <xf numFmtId="4" fontId="2" fillId="4" borderId="21" xfId="0" applyNumberFormat="1" applyFont="1" applyFill="1" applyBorder="1" applyAlignment="1">
      <alignment horizontal="right" vertical="center"/>
    </xf>
    <xf numFmtId="4" fontId="2" fillId="4" borderId="27" xfId="0" applyNumberFormat="1" applyFont="1" applyFill="1" applyBorder="1" applyAlignment="1">
      <alignment horizontal="right" vertical="center"/>
    </xf>
    <xf numFmtId="4" fontId="2" fillId="4" borderId="26" xfId="0" applyNumberFormat="1" applyFont="1" applyFill="1" applyBorder="1" applyAlignment="1">
      <alignment horizontal="right" vertical="center"/>
    </xf>
    <xf numFmtId="0" fontId="3" fillId="3" borderId="33" xfId="0" applyFont="1" applyFill="1" applyBorder="1" applyAlignment="1">
      <alignment vertical="center" wrapText="1"/>
    </xf>
    <xf numFmtId="0" fontId="3" fillId="3" borderId="34" xfId="0" applyFont="1" applyFill="1" applyBorder="1" applyAlignment="1">
      <alignment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18" xfId="0" applyFont="1" applyFill="1" applyBorder="1" applyAlignment="1">
      <alignment vertical="center" wrapText="1"/>
    </xf>
    <xf numFmtId="4" fontId="5" fillId="0" borderId="18" xfId="0" applyNumberFormat="1" applyFont="1" applyBorder="1" applyAlignment="1">
      <alignment horizontal="center" vertical="center"/>
    </xf>
    <xf numFmtId="4" fontId="5" fillId="0" borderId="21" xfId="0" applyNumberFormat="1" applyFont="1" applyBorder="1" applyAlignment="1">
      <alignment horizontal="center" vertical="center"/>
    </xf>
    <xf numFmtId="4" fontId="2" fillId="0" borderId="27" xfId="0" applyNumberFormat="1" applyFont="1" applyBorder="1" applyAlignment="1">
      <alignment horizontal="right" vertical="center"/>
    </xf>
    <xf numFmtId="4" fontId="2" fillId="0" borderId="26" xfId="0" applyNumberFormat="1" applyFont="1" applyBorder="1" applyAlignment="1">
      <alignment horizontal="right" vertical="center"/>
    </xf>
    <xf numFmtId="0" fontId="5" fillId="0" borderId="3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4" fontId="5" fillId="0" borderId="36" xfId="0" applyNumberFormat="1" applyFont="1" applyBorder="1" applyAlignment="1">
      <alignment horizontal="center" vertical="center"/>
    </xf>
    <xf numFmtId="4" fontId="1" fillId="0" borderId="39" xfId="0" applyNumberFormat="1" applyFont="1" applyBorder="1" applyAlignment="1">
      <alignment horizontal="center" vertical="center"/>
    </xf>
    <xf numFmtId="4" fontId="1" fillId="0" borderId="40" xfId="0" applyNumberFormat="1" applyFont="1" applyBorder="1" applyAlignment="1">
      <alignment horizontal="center" vertical="center"/>
    </xf>
    <xf numFmtId="4" fontId="0" fillId="0" borderId="16" xfId="0" applyNumberFormat="1" applyBorder="1" applyAlignment="1">
      <alignment horizontal="center" vertical="center"/>
    </xf>
    <xf numFmtId="4" fontId="0" fillId="0" borderId="19" xfId="0" applyNumberForma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center" vertical="center"/>
    </xf>
    <xf numFmtId="4" fontId="1" fillId="0" borderId="18" xfId="0" applyNumberFormat="1" applyFont="1" applyBorder="1" applyAlignment="1">
      <alignment horizontal="center" vertical="center"/>
    </xf>
    <xf numFmtId="4" fontId="0" fillId="4" borderId="12" xfId="0" applyNumberFormat="1" applyFill="1" applyBorder="1" applyAlignment="1">
      <alignment horizontal="center" vertical="center"/>
    </xf>
    <xf numFmtId="4" fontId="0" fillId="4" borderId="18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left" vertical="center" wrapText="1"/>
    </xf>
    <xf numFmtId="4" fontId="1" fillId="0" borderId="32" xfId="0" applyNumberFormat="1" applyFont="1" applyBorder="1" applyAlignment="1">
      <alignment horizontal="center" vertical="center"/>
    </xf>
    <xf numFmtId="4" fontId="1" fillId="0" borderId="34" xfId="0" applyNumberFormat="1" applyFont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/>
    </xf>
    <xf numFmtId="4" fontId="1" fillId="0" borderId="25" xfId="0" applyNumberFormat="1" applyFont="1" applyBorder="1" applyAlignment="1">
      <alignment horizontal="center" vertical="center"/>
    </xf>
    <xf numFmtId="4" fontId="0" fillId="0" borderId="35" xfId="0" applyNumberFormat="1" applyBorder="1" applyAlignment="1">
      <alignment horizontal="center" vertical="center"/>
    </xf>
    <xf numFmtId="4" fontId="0" fillId="0" borderId="37" xfId="0" applyNumberFormat="1" applyBorder="1" applyAlignment="1">
      <alignment horizontal="center" vertical="center"/>
    </xf>
    <xf numFmtId="0" fontId="3" fillId="3" borderId="29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30" xfId="0" applyFont="1" applyFill="1" applyBorder="1" applyAlignment="1">
      <alignment horizontal="left" vertical="center"/>
    </xf>
    <xf numFmtId="0" fontId="3" fillId="3" borderId="35" xfId="0" applyFont="1" applyFill="1" applyBorder="1" applyAlignment="1">
      <alignment horizontal="left" vertical="center"/>
    </xf>
    <xf numFmtId="0" fontId="3" fillId="3" borderId="36" xfId="0" applyFont="1" applyFill="1" applyBorder="1" applyAlignment="1">
      <alignment horizontal="left" vertical="center"/>
    </xf>
    <xf numFmtId="0" fontId="3" fillId="3" borderId="37" xfId="0" applyFont="1" applyFill="1" applyBorder="1" applyAlignment="1">
      <alignment horizontal="left" vertical="center"/>
    </xf>
    <xf numFmtId="4" fontId="1" fillId="3" borderId="12" xfId="0" applyNumberFormat="1" applyFont="1" applyFill="1" applyBorder="1" applyAlignment="1">
      <alignment horizontal="center" vertical="center"/>
    </xf>
    <xf numFmtId="4" fontId="1" fillId="3" borderId="18" xfId="0" applyNumberFormat="1" applyFont="1" applyFill="1" applyBorder="1" applyAlignment="1">
      <alignment horizontal="center" vertical="center"/>
    </xf>
    <xf numFmtId="4" fontId="1" fillId="3" borderId="35" xfId="0" applyNumberFormat="1" applyFont="1" applyFill="1" applyBorder="1" applyAlignment="1">
      <alignment horizontal="center" vertical="center"/>
    </xf>
    <xf numFmtId="4" fontId="1" fillId="3" borderId="37" xfId="0" applyNumberFormat="1" applyFont="1" applyFill="1" applyBorder="1" applyAlignment="1">
      <alignment horizontal="center" vertical="center"/>
    </xf>
    <xf numFmtId="4" fontId="1" fillId="3" borderId="29" xfId="0" applyNumberFormat="1" applyFont="1" applyFill="1" applyBorder="1" applyAlignment="1">
      <alignment horizontal="center" vertical="center"/>
    </xf>
    <xf numFmtId="4" fontId="1" fillId="3" borderId="30" xfId="0" applyNumberFormat="1" applyFont="1" applyFill="1" applyBorder="1" applyAlignment="1">
      <alignment horizontal="center" vertical="center"/>
    </xf>
    <xf numFmtId="4" fontId="1" fillId="3" borderId="27" xfId="0" applyNumberFormat="1" applyFont="1" applyFill="1" applyBorder="1" applyAlignment="1">
      <alignment horizontal="right" vertical="center"/>
    </xf>
    <xf numFmtId="4" fontId="1" fillId="3" borderId="38" xfId="0" applyNumberFormat="1" applyFont="1" applyFill="1" applyBorder="1" applyAlignment="1">
      <alignment horizontal="right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center" vertical="center"/>
    </xf>
    <xf numFmtId="4" fontId="6" fillId="0" borderId="18" xfId="0" applyNumberFormat="1" applyFont="1" applyFill="1" applyBorder="1" applyAlignment="1">
      <alignment horizontal="center" vertical="center"/>
    </xf>
    <xf numFmtId="4" fontId="0" fillId="0" borderId="29" xfId="0" applyNumberFormat="1" applyBorder="1" applyAlignment="1">
      <alignment horizontal="center" vertical="center"/>
    </xf>
    <xf numFmtId="4" fontId="0" fillId="0" borderId="30" xfId="0" applyNumberFormat="1" applyBorder="1" applyAlignment="1">
      <alignment horizontal="center" vertical="center"/>
    </xf>
    <xf numFmtId="4" fontId="1" fillId="5" borderId="35" xfId="0" applyNumberFormat="1" applyFont="1" applyFill="1" applyBorder="1" applyAlignment="1">
      <alignment horizontal="center" vertical="center"/>
    </xf>
    <xf numFmtId="4" fontId="1" fillId="5" borderId="37" xfId="0" applyNumberFormat="1" applyFont="1" applyFill="1" applyBorder="1" applyAlignment="1">
      <alignment horizontal="center" vertical="center"/>
    </xf>
    <xf numFmtId="4" fontId="1" fillId="3" borderId="14" xfId="0" applyNumberFormat="1" applyFont="1" applyFill="1" applyBorder="1" applyAlignment="1">
      <alignment horizontal="center" vertical="center"/>
    </xf>
    <xf numFmtId="4" fontId="1" fillId="3" borderId="25" xfId="0" applyNumberFormat="1" applyFont="1" applyFill="1" applyBorder="1" applyAlignment="1">
      <alignment horizontal="center" vertical="center"/>
    </xf>
    <xf numFmtId="4" fontId="1" fillId="3" borderId="26" xfId="0" applyNumberFormat="1" applyFont="1" applyFill="1" applyBorder="1" applyAlignment="1">
      <alignment horizontal="right" vertical="center"/>
    </xf>
    <xf numFmtId="4" fontId="1" fillId="6" borderId="23" xfId="0" applyNumberFormat="1" applyFont="1" applyFill="1" applyBorder="1" applyAlignment="1">
      <alignment horizontal="center" vertical="center"/>
    </xf>
    <xf numFmtId="4" fontId="1" fillId="5" borderId="29" xfId="0" applyNumberFormat="1" applyFont="1" applyFill="1" applyBorder="1" applyAlignment="1">
      <alignment horizontal="center" vertical="center"/>
    </xf>
    <xf numFmtId="4" fontId="1" fillId="5" borderId="30" xfId="0" applyNumberFormat="1" applyFont="1" applyFill="1" applyBorder="1" applyAlignment="1">
      <alignment horizontal="center" vertical="center"/>
    </xf>
    <xf numFmtId="0" fontId="1" fillId="5" borderId="35" xfId="0" applyFont="1" applyFill="1" applyBorder="1" applyAlignment="1">
      <alignment horizontal="center" vertical="center"/>
    </xf>
    <xf numFmtId="0" fontId="1" fillId="5" borderId="36" xfId="0" applyFont="1" applyFill="1" applyBorder="1" applyAlignment="1">
      <alignment horizontal="center" vertical="center"/>
    </xf>
    <xf numFmtId="0" fontId="1" fillId="5" borderId="37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 vertical="center"/>
    </xf>
    <xf numFmtId="0" fontId="3" fillId="3" borderId="25" xfId="0" applyFont="1" applyFill="1" applyBorder="1" applyAlignment="1">
      <alignment horizontal="left" vertical="center"/>
    </xf>
    <xf numFmtId="0" fontId="3" fillId="3" borderId="29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3" fillId="3" borderId="30" xfId="0" applyFont="1" applyFill="1" applyBorder="1" applyAlignment="1">
      <alignment vertical="center" wrapText="1"/>
    </xf>
    <xf numFmtId="0" fontId="3" fillId="3" borderId="35" xfId="0" applyFont="1" applyFill="1" applyBorder="1" applyAlignment="1">
      <alignment vertical="center"/>
    </xf>
    <xf numFmtId="0" fontId="3" fillId="3" borderId="36" xfId="0" applyFont="1" applyFill="1" applyBorder="1" applyAlignment="1">
      <alignment vertical="center"/>
    </xf>
    <xf numFmtId="0" fontId="3" fillId="3" borderId="37" xfId="0" applyFont="1" applyFill="1" applyBorder="1" applyAlignment="1">
      <alignment vertical="center"/>
    </xf>
    <xf numFmtId="0" fontId="3" fillId="3" borderId="29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30" xfId="0" applyFont="1" applyFill="1" applyBorder="1" applyAlignment="1">
      <alignment vertical="center"/>
    </xf>
    <xf numFmtId="0" fontId="1" fillId="0" borderId="0" xfId="0" applyFont="1" applyAlignment="1">
      <alignment horizontal="center" wrapText="1"/>
    </xf>
    <xf numFmtId="0" fontId="1" fillId="5" borderId="29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8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4" fontId="10" fillId="0" borderId="12" xfId="0" applyNumberFormat="1" applyFont="1" applyBorder="1" applyAlignment="1">
      <alignment horizontal="center" vertical="center"/>
    </xf>
    <xf numFmtId="4" fontId="10" fillId="0" borderId="18" xfId="0" applyNumberFormat="1" applyFont="1" applyBorder="1" applyAlignment="1">
      <alignment horizontal="center" vertical="center"/>
    </xf>
    <xf numFmtId="4" fontId="0" fillId="0" borderId="23" xfId="0" applyNumberFormat="1" applyBorder="1" applyAlignment="1">
      <alignment horizontal="center" vertical="center"/>
    </xf>
    <xf numFmtId="4" fontId="0" fillId="0" borderId="24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4" fontId="3" fillId="4" borderId="12" xfId="0" applyNumberFormat="1" applyFont="1" applyFill="1" applyBorder="1" applyAlignment="1">
      <alignment horizontal="center" vertical="center"/>
    </xf>
    <xf numFmtId="4" fontId="3" fillId="4" borderId="18" xfId="0" applyNumberFormat="1" applyFont="1" applyFill="1" applyBorder="1" applyAlignment="1">
      <alignment horizontal="center" vertical="center"/>
    </xf>
    <xf numFmtId="4" fontId="3" fillId="4" borderId="16" xfId="0" applyNumberFormat="1" applyFont="1" applyFill="1" applyBorder="1" applyAlignment="1">
      <alignment horizontal="center" vertical="center"/>
    </xf>
    <xf numFmtId="4" fontId="3" fillId="4" borderId="19" xfId="0" applyNumberFormat="1" applyFont="1" applyFill="1" applyBorder="1" applyAlignment="1">
      <alignment horizontal="center" vertical="center"/>
    </xf>
    <xf numFmtId="4" fontId="3" fillId="4" borderId="32" xfId="0" applyNumberFormat="1" applyFont="1" applyFill="1" applyBorder="1" applyAlignment="1">
      <alignment horizontal="center" vertical="center"/>
    </xf>
    <xf numFmtId="4" fontId="3" fillId="4" borderId="34" xfId="0" applyNumberFormat="1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zoomScaleNormal="100" workbookViewId="0"/>
  </sheetViews>
  <sheetFormatPr defaultRowHeight="15" x14ac:dyDescent="0.25"/>
  <cols>
    <col min="1" max="3" width="8.85546875" customWidth="1"/>
    <col min="4" max="4" width="12.85546875" customWidth="1"/>
    <col min="5" max="12" width="8.85546875" customWidth="1"/>
    <col min="15" max="15" width="12.7109375" bestFit="1" customWidth="1"/>
  </cols>
  <sheetData>
    <row r="1" spans="1:14" x14ac:dyDescent="0.25">
      <c r="A1" s="1" t="s">
        <v>14</v>
      </c>
    </row>
    <row r="2" spans="1:14" x14ac:dyDescent="0.25">
      <c r="A2" t="s">
        <v>12</v>
      </c>
    </row>
    <row r="3" spans="1:14" x14ac:dyDescent="0.25">
      <c r="A3" t="s">
        <v>13</v>
      </c>
    </row>
    <row r="5" spans="1:14" ht="15" customHeight="1" x14ac:dyDescent="0.25">
      <c r="A5" s="197" t="s">
        <v>154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</row>
    <row r="6" spans="1:14" x14ac:dyDescent="0.25">
      <c r="A6" s="197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</row>
    <row r="7" spans="1:14" x14ac:dyDescent="0.25">
      <c r="A7" s="197"/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</row>
    <row r="9" spans="1:14" x14ac:dyDescent="0.25">
      <c r="A9" s="196" t="s">
        <v>218</v>
      </c>
      <c r="B9" s="196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</row>
    <row r="10" spans="1:14" x14ac:dyDescent="0.25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pans="1:14" x14ac:dyDescent="0.25">
      <c r="A11" s="196" t="s">
        <v>0</v>
      </c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</row>
    <row r="12" spans="1:14" x14ac:dyDescent="0.25">
      <c r="A12" s="196" t="s">
        <v>169</v>
      </c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</row>
    <row r="14" spans="1:14" ht="15.75" thickBot="1" x14ac:dyDescent="0.3">
      <c r="A14" s="1" t="s">
        <v>155</v>
      </c>
    </row>
    <row r="15" spans="1:14" ht="15" customHeight="1" x14ac:dyDescent="0.25">
      <c r="A15" s="198" t="s">
        <v>1</v>
      </c>
      <c r="B15" s="199"/>
      <c r="C15" s="199"/>
      <c r="D15" s="200"/>
      <c r="E15" s="191" t="s">
        <v>146</v>
      </c>
      <c r="F15" s="191"/>
      <c r="G15" s="162" t="s">
        <v>221</v>
      </c>
      <c r="H15" s="163"/>
      <c r="I15" s="204" t="s">
        <v>219</v>
      </c>
      <c r="J15" s="205"/>
      <c r="K15" s="191" t="s">
        <v>220</v>
      </c>
      <c r="L15" s="191"/>
      <c r="M15" s="18" t="s">
        <v>40</v>
      </c>
      <c r="N15" s="18" t="s">
        <v>40</v>
      </c>
    </row>
    <row r="16" spans="1:14" x14ac:dyDescent="0.25">
      <c r="A16" s="201"/>
      <c r="B16" s="202"/>
      <c r="C16" s="202"/>
      <c r="D16" s="203"/>
      <c r="E16" s="192"/>
      <c r="F16" s="192"/>
      <c r="G16" s="164"/>
      <c r="H16" s="165"/>
      <c r="I16" s="206"/>
      <c r="J16" s="207"/>
      <c r="K16" s="192"/>
      <c r="L16" s="192"/>
      <c r="M16" s="21" t="s">
        <v>143</v>
      </c>
      <c r="N16" s="19" t="s">
        <v>145</v>
      </c>
    </row>
    <row r="17" spans="1:15" ht="15.75" thickBot="1" x14ac:dyDescent="0.3">
      <c r="A17" s="179">
        <v>1</v>
      </c>
      <c r="B17" s="180"/>
      <c r="C17" s="180"/>
      <c r="D17" s="181"/>
      <c r="E17" s="166">
        <v>2</v>
      </c>
      <c r="F17" s="166"/>
      <c r="G17" s="166">
        <v>3</v>
      </c>
      <c r="H17" s="166"/>
      <c r="I17" s="166">
        <v>4</v>
      </c>
      <c r="J17" s="166"/>
      <c r="K17" s="166">
        <v>5</v>
      </c>
      <c r="L17" s="166"/>
      <c r="M17" s="20">
        <v>6</v>
      </c>
      <c r="N17" s="20">
        <v>7</v>
      </c>
    </row>
    <row r="18" spans="1:15" x14ac:dyDescent="0.25">
      <c r="A18" s="173" t="s">
        <v>2</v>
      </c>
      <c r="B18" s="174"/>
      <c r="C18" s="174"/>
      <c r="D18" s="175"/>
      <c r="E18" s="167">
        <f>2012718.22</f>
        <v>2012718.22</v>
      </c>
      <c r="F18" s="168"/>
      <c r="G18" s="167">
        <v>2184500.75</v>
      </c>
      <c r="H18" s="168"/>
      <c r="I18" s="167">
        <f>2243905.14-I20</f>
        <v>2228408.0300000003</v>
      </c>
      <c r="J18" s="168"/>
      <c r="K18" s="167">
        <v>2237499.85</v>
      </c>
      <c r="L18" s="168"/>
      <c r="M18" s="62">
        <f>K18/E18*100</f>
        <v>111.16806256168339</v>
      </c>
      <c r="N18" s="62">
        <f>K18/I18*100</f>
        <v>100.40799619628007</v>
      </c>
      <c r="O18" s="26"/>
    </row>
    <row r="19" spans="1:15" x14ac:dyDescent="0.25">
      <c r="A19" s="176" t="s">
        <v>3</v>
      </c>
      <c r="B19" s="177"/>
      <c r="C19" s="177"/>
      <c r="D19" s="178"/>
      <c r="E19" s="169">
        <v>0</v>
      </c>
      <c r="F19" s="170"/>
      <c r="G19" s="169">
        <v>0</v>
      </c>
      <c r="H19" s="170"/>
      <c r="I19" s="169">
        <v>0</v>
      </c>
      <c r="J19" s="170"/>
      <c r="K19" s="169">
        <v>0</v>
      </c>
      <c r="L19" s="170"/>
      <c r="M19" s="59" t="e">
        <f t="shared" ref="M19:M33" si="0">K19/E19*100</f>
        <v>#DIV/0!</v>
      </c>
      <c r="N19" s="59" t="e">
        <f t="shared" ref="N19:N33" si="1">K19/I19*100</f>
        <v>#DIV/0!</v>
      </c>
    </row>
    <row r="20" spans="1:15" x14ac:dyDescent="0.25">
      <c r="A20" s="176" t="s">
        <v>11</v>
      </c>
      <c r="B20" s="177"/>
      <c r="C20" s="177"/>
      <c r="D20" s="178"/>
      <c r="E20" s="169">
        <v>30664.7</v>
      </c>
      <c r="F20" s="170"/>
      <c r="G20" s="169">
        <v>15497.11</v>
      </c>
      <c r="H20" s="170"/>
      <c r="I20" s="169">
        <v>15497.11</v>
      </c>
      <c r="J20" s="170"/>
      <c r="K20" s="169">
        <v>15497.11</v>
      </c>
      <c r="L20" s="170"/>
      <c r="M20" s="59">
        <f t="shared" si="0"/>
        <v>50.537295326548119</v>
      </c>
      <c r="N20" s="59">
        <f t="shared" si="1"/>
        <v>100</v>
      </c>
    </row>
    <row r="21" spans="1:15" s="87" customFormat="1" x14ac:dyDescent="0.25">
      <c r="A21" s="184" t="s">
        <v>4</v>
      </c>
      <c r="B21" s="185"/>
      <c r="C21" s="185"/>
      <c r="D21" s="186"/>
      <c r="E21" s="171">
        <f>SUM(E18:F20)</f>
        <v>2043382.92</v>
      </c>
      <c r="F21" s="172"/>
      <c r="G21" s="171">
        <f>SUM(G18:H20)</f>
        <v>2199997.86</v>
      </c>
      <c r="H21" s="172"/>
      <c r="I21" s="171">
        <f>SUM(I18:J20)</f>
        <v>2243905.14</v>
      </c>
      <c r="J21" s="172"/>
      <c r="K21" s="171">
        <f>SUM(K18:L20)</f>
        <v>2252996.96</v>
      </c>
      <c r="L21" s="172"/>
      <c r="M21" s="58">
        <f>K21/E21*100</f>
        <v>110.25818694814187</v>
      </c>
      <c r="N21" s="58">
        <f>K21/I21*100</f>
        <v>100.40517844707107</v>
      </c>
    </row>
    <row r="22" spans="1:15" x14ac:dyDescent="0.25">
      <c r="A22" s="176" t="s">
        <v>5</v>
      </c>
      <c r="B22" s="177"/>
      <c r="C22" s="177"/>
      <c r="D22" s="178"/>
      <c r="E22" s="169">
        <f>2027885.81-E23</f>
        <v>1878054.08</v>
      </c>
      <c r="F22" s="170"/>
      <c r="G22" s="169">
        <v>2190997.86</v>
      </c>
      <c r="H22" s="170"/>
      <c r="I22" s="169">
        <f>2243905.14-I23</f>
        <v>2234905.14</v>
      </c>
      <c r="J22" s="170"/>
      <c r="K22" s="169">
        <v>2196705.38</v>
      </c>
      <c r="L22" s="170"/>
      <c r="M22" s="59">
        <f t="shared" si="0"/>
        <v>116.96709926478795</v>
      </c>
      <c r="N22" s="59">
        <f t="shared" si="1"/>
        <v>98.290765933806028</v>
      </c>
      <c r="O22" s="26"/>
    </row>
    <row r="23" spans="1:15" x14ac:dyDescent="0.25">
      <c r="A23" s="176" t="s">
        <v>6</v>
      </c>
      <c r="B23" s="177"/>
      <c r="C23" s="177"/>
      <c r="D23" s="178"/>
      <c r="E23" s="169">
        <f>145903.71+3132.34+795.68</f>
        <v>149831.72999999998</v>
      </c>
      <c r="F23" s="170"/>
      <c r="G23" s="169">
        <v>9000</v>
      </c>
      <c r="H23" s="170"/>
      <c r="I23" s="169">
        <f>3000+4000+2000</f>
        <v>9000</v>
      </c>
      <c r="J23" s="170"/>
      <c r="K23" s="169">
        <v>7615.27</v>
      </c>
      <c r="L23" s="170"/>
      <c r="M23" s="59">
        <f t="shared" si="0"/>
        <v>5.0825482693151853</v>
      </c>
      <c r="N23" s="59">
        <f t="shared" si="1"/>
        <v>84.614111111111114</v>
      </c>
      <c r="O23" s="26"/>
    </row>
    <row r="24" spans="1:15" s="87" customFormat="1" x14ac:dyDescent="0.25">
      <c r="A24" s="184" t="s">
        <v>7</v>
      </c>
      <c r="B24" s="185"/>
      <c r="C24" s="185"/>
      <c r="D24" s="186"/>
      <c r="E24" s="171">
        <f>SUM(E22:F23)</f>
        <v>2027885.81</v>
      </c>
      <c r="F24" s="172"/>
      <c r="G24" s="171">
        <f>SUM(G22:H23)</f>
        <v>2199997.86</v>
      </c>
      <c r="H24" s="172"/>
      <c r="I24" s="171">
        <f>SUM(I22:J23)</f>
        <v>2243905.14</v>
      </c>
      <c r="J24" s="172"/>
      <c r="K24" s="171">
        <f>SUM(K22:L23)</f>
        <v>2204320.65</v>
      </c>
      <c r="L24" s="172"/>
      <c r="M24" s="58">
        <f t="shared" ref="M24" si="2">K24/E24*100</f>
        <v>108.7004326934957</v>
      </c>
      <c r="N24" s="58">
        <f t="shared" ref="N24" si="3">K24/I24*100</f>
        <v>98.235910721252679</v>
      </c>
      <c r="O24" s="26"/>
    </row>
    <row r="25" spans="1:15" ht="15.75" thickBot="1" x14ac:dyDescent="0.3">
      <c r="A25" s="193" t="s">
        <v>8</v>
      </c>
      <c r="B25" s="194"/>
      <c r="C25" s="194"/>
      <c r="D25" s="195"/>
      <c r="E25" s="187">
        <f>E21-E24</f>
        <v>15497.10999999987</v>
      </c>
      <c r="F25" s="188"/>
      <c r="G25" s="187">
        <f>G21-G24</f>
        <v>0</v>
      </c>
      <c r="H25" s="188"/>
      <c r="I25" s="187">
        <f>I21-I24</f>
        <v>0</v>
      </c>
      <c r="J25" s="188"/>
      <c r="K25" s="187">
        <f>K21-K24</f>
        <v>48676.310000000056</v>
      </c>
      <c r="L25" s="188"/>
      <c r="M25" s="60">
        <f t="shared" si="0"/>
        <v>314.09927399367018</v>
      </c>
      <c r="N25" s="60" t="e">
        <f t="shared" si="1"/>
        <v>#DIV/0!</v>
      </c>
    </row>
    <row r="26" spans="1:15" x14ac:dyDescent="0.25">
      <c r="M26" s="26"/>
      <c r="N26" s="26"/>
      <c r="O26" s="26"/>
    </row>
    <row r="27" spans="1:15" ht="15.75" thickBot="1" x14ac:dyDescent="0.3">
      <c r="A27" s="1" t="s">
        <v>156</v>
      </c>
    </row>
    <row r="28" spans="1:15" ht="15" customHeight="1" x14ac:dyDescent="0.25">
      <c r="A28" s="160" t="s">
        <v>173</v>
      </c>
      <c r="B28" s="160"/>
      <c r="C28" s="160"/>
      <c r="D28" s="160"/>
      <c r="E28" s="191" t="s">
        <v>146</v>
      </c>
      <c r="F28" s="191"/>
      <c r="G28" s="162" t="s">
        <v>221</v>
      </c>
      <c r="H28" s="163"/>
      <c r="I28" s="204" t="s">
        <v>219</v>
      </c>
      <c r="J28" s="205"/>
      <c r="K28" s="191" t="s">
        <v>220</v>
      </c>
      <c r="L28" s="191"/>
      <c r="M28" s="61" t="s">
        <v>40</v>
      </c>
      <c r="N28" s="18" t="s">
        <v>40</v>
      </c>
    </row>
    <row r="29" spans="1:15" x14ac:dyDescent="0.25">
      <c r="A29" s="161"/>
      <c r="B29" s="161"/>
      <c r="C29" s="161"/>
      <c r="D29" s="161"/>
      <c r="E29" s="192"/>
      <c r="F29" s="192"/>
      <c r="G29" s="164"/>
      <c r="H29" s="165"/>
      <c r="I29" s="206"/>
      <c r="J29" s="207"/>
      <c r="K29" s="192"/>
      <c r="L29" s="192"/>
      <c r="M29" s="21" t="s">
        <v>143</v>
      </c>
      <c r="N29" s="19" t="s">
        <v>145</v>
      </c>
      <c r="O29" s="26"/>
    </row>
    <row r="30" spans="1:15" ht="15.75" thickBot="1" x14ac:dyDescent="0.3">
      <c r="A30" s="179">
        <v>1</v>
      </c>
      <c r="B30" s="180"/>
      <c r="C30" s="180"/>
      <c r="D30" s="181"/>
      <c r="E30" s="166">
        <v>2</v>
      </c>
      <c r="F30" s="166"/>
      <c r="G30" s="166">
        <v>3</v>
      </c>
      <c r="H30" s="166"/>
      <c r="I30" s="166">
        <v>4</v>
      </c>
      <c r="J30" s="166"/>
      <c r="K30" s="166">
        <v>5</v>
      </c>
      <c r="L30" s="166"/>
      <c r="M30" s="20">
        <v>6</v>
      </c>
      <c r="N30" s="20">
        <v>7</v>
      </c>
      <c r="O30" s="26"/>
    </row>
    <row r="31" spans="1:15" x14ac:dyDescent="0.25">
      <c r="A31" s="189" t="s">
        <v>10</v>
      </c>
      <c r="B31" s="189"/>
      <c r="C31" s="189"/>
      <c r="D31" s="189"/>
      <c r="E31" s="182">
        <v>0</v>
      </c>
      <c r="F31" s="182"/>
      <c r="G31" s="182">
        <v>0</v>
      </c>
      <c r="H31" s="182"/>
      <c r="I31" s="182">
        <v>0</v>
      </c>
      <c r="J31" s="182"/>
      <c r="K31" s="182">
        <v>0</v>
      </c>
      <c r="L31" s="182"/>
      <c r="M31" s="53" t="e">
        <f t="shared" si="0"/>
        <v>#DIV/0!</v>
      </c>
      <c r="N31" s="53" t="e">
        <f t="shared" si="1"/>
        <v>#DIV/0!</v>
      </c>
    </row>
    <row r="32" spans="1:15" x14ac:dyDescent="0.25">
      <c r="A32" s="190" t="s">
        <v>9</v>
      </c>
      <c r="B32" s="190"/>
      <c r="C32" s="190"/>
      <c r="D32" s="190"/>
      <c r="E32" s="183">
        <v>0</v>
      </c>
      <c r="F32" s="183"/>
      <c r="G32" s="183">
        <v>0</v>
      </c>
      <c r="H32" s="183"/>
      <c r="I32" s="183">
        <v>0</v>
      </c>
      <c r="J32" s="183"/>
      <c r="K32" s="183">
        <v>0</v>
      </c>
      <c r="L32" s="183"/>
      <c r="M32" s="54" t="e">
        <f t="shared" si="0"/>
        <v>#DIV/0!</v>
      </c>
      <c r="N32" s="54" t="e">
        <f t="shared" si="1"/>
        <v>#DIV/0!</v>
      </c>
    </row>
    <row r="33" spans="1:14" x14ac:dyDescent="0.25">
      <c r="A33" s="184" t="s">
        <v>235</v>
      </c>
      <c r="B33" s="185"/>
      <c r="C33" s="185"/>
      <c r="D33" s="186"/>
      <c r="E33" s="171">
        <f>E31-E32</f>
        <v>0</v>
      </c>
      <c r="F33" s="172"/>
      <c r="G33" s="171">
        <f t="shared" ref="G33" si="4">G31-G32</f>
        <v>0</v>
      </c>
      <c r="H33" s="172"/>
      <c r="I33" s="171">
        <f t="shared" ref="I33" si="5">I31-I32</f>
        <v>0</v>
      </c>
      <c r="J33" s="172"/>
      <c r="K33" s="171">
        <f t="shared" ref="K33" si="6">K31-K32</f>
        <v>0</v>
      </c>
      <c r="L33" s="172"/>
      <c r="M33" s="58" t="e">
        <f t="shared" si="0"/>
        <v>#DIV/0!</v>
      </c>
      <c r="N33" s="58" t="e">
        <f t="shared" si="1"/>
        <v>#DIV/0!</v>
      </c>
    </row>
    <row r="34" spans="1:14" s="87" customFormat="1" x14ac:dyDescent="0.25">
      <c r="A34" s="190" t="s">
        <v>236</v>
      </c>
      <c r="B34" s="190"/>
      <c r="C34" s="190"/>
      <c r="D34" s="190"/>
      <c r="E34" s="183">
        <v>30664.7</v>
      </c>
      <c r="F34" s="183"/>
      <c r="G34" s="183">
        <v>15497.11</v>
      </c>
      <c r="H34" s="183"/>
      <c r="I34" s="183">
        <v>15497.11</v>
      </c>
      <c r="J34" s="183"/>
      <c r="K34" s="183">
        <v>15497.11</v>
      </c>
      <c r="L34" s="183"/>
      <c r="M34" s="59">
        <f>K34/E34*100</f>
        <v>50.537295326548119</v>
      </c>
      <c r="N34" s="54">
        <f>K34/I34*100</f>
        <v>100</v>
      </c>
    </row>
    <row r="35" spans="1:14" s="87" customFormat="1" x14ac:dyDescent="0.25">
      <c r="A35" s="190" t="s">
        <v>237</v>
      </c>
      <c r="B35" s="190"/>
      <c r="C35" s="190"/>
      <c r="D35" s="190"/>
      <c r="E35" s="183">
        <v>15497.11</v>
      </c>
      <c r="F35" s="183"/>
      <c r="G35" s="183">
        <v>0</v>
      </c>
      <c r="H35" s="183"/>
      <c r="I35" s="183">
        <v>0</v>
      </c>
      <c r="J35" s="183"/>
      <c r="K35" s="183">
        <f>K21-K24</f>
        <v>48676.310000000056</v>
      </c>
      <c r="L35" s="183"/>
      <c r="M35" s="59">
        <f t="shared" ref="M35" si="7">K35/E35*100</f>
        <v>314.09927399366757</v>
      </c>
      <c r="N35" s="54" t="e">
        <f>K35/I35*100</f>
        <v>#DIV/0!</v>
      </c>
    </row>
    <row r="36" spans="1:14" s="87" customFormat="1" x14ac:dyDescent="0.25">
      <c r="A36" s="184" t="s">
        <v>238</v>
      </c>
      <c r="B36" s="185"/>
      <c r="C36" s="185"/>
      <c r="D36" s="186"/>
      <c r="E36" s="171">
        <v>0</v>
      </c>
      <c r="F36" s="172"/>
      <c r="G36" s="171">
        <v>0</v>
      </c>
      <c r="H36" s="172"/>
      <c r="I36" s="171">
        <v>0</v>
      </c>
      <c r="J36" s="172"/>
      <c r="K36" s="171">
        <v>0</v>
      </c>
      <c r="L36" s="172"/>
      <c r="M36" s="58" t="e">
        <f t="shared" ref="M36:M37" si="8">K36/E36*100</f>
        <v>#DIV/0!</v>
      </c>
      <c r="N36" s="58" t="e">
        <f t="shared" ref="N36:N37" si="9">K36/I36*100</f>
        <v>#DIV/0!</v>
      </c>
    </row>
    <row r="37" spans="1:14" s="87" customFormat="1" x14ac:dyDescent="0.25">
      <c r="A37" s="184" t="s">
        <v>239</v>
      </c>
      <c r="B37" s="185"/>
      <c r="C37" s="185"/>
      <c r="D37" s="186"/>
      <c r="E37" s="171">
        <v>15497.11</v>
      </c>
      <c r="F37" s="172"/>
      <c r="G37" s="171">
        <v>0</v>
      </c>
      <c r="H37" s="172"/>
      <c r="I37" s="171">
        <v>0</v>
      </c>
      <c r="J37" s="172"/>
      <c r="K37" s="171">
        <f>K25</f>
        <v>48676.310000000056</v>
      </c>
      <c r="L37" s="172"/>
      <c r="M37" s="58">
        <f t="shared" si="8"/>
        <v>314.09927399366757</v>
      </c>
      <c r="N37" s="58" t="e">
        <f t="shared" si="9"/>
        <v>#DIV/0!</v>
      </c>
    </row>
    <row r="38" spans="1:14" s="87" customFormat="1" x14ac:dyDescent="0.25">
      <c r="A38" s="103"/>
      <c r="B38" s="103"/>
      <c r="C38" s="103"/>
      <c r="D38" s="103"/>
      <c r="E38" s="104"/>
      <c r="F38" s="104"/>
      <c r="G38" s="104"/>
      <c r="H38" s="104"/>
      <c r="I38" s="104"/>
      <c r="J38" s="104"/>
      <c r="K38" s="104"/>
      <c r="L38" s="104"/>
      <c r="M38" s="105"/>
      <c r="N38" s="105"/>
    </row>
    <row r="39" spans="1:14" s="87" customFormat="1" x14ac:dyDescent="0.25">
      <c r="A39" s="103"/>
      <c r="B39" s="103"/>
      <c r="C39" s="103"/>
      <c r="D39" s="103"/>
      <c r="E39" s="104"/>
      <c r="F39" s="104"/>
      <c r="G39" s="104"/>
      <c r="H39" s="104"/>
      <c r="I39" s="104"/>
      <c r="J39" s="104"/>
      <c r="K39" s="104"/>
      <c r="L39" s="104"/>
      <c r="M39" s="105"/>
      <c r="N39" s="105"/>
    </row>
    <row r="40" spans="1:14" s="87" customFormat="1" x14ac:dyDescent="0.25">
      <c r="A40" s="103"/>
      <c r="B40" s="103"/>
      <c r="C40" s="103"/>
      <c r="D40" s="103"/>
      <c r="E40" s="104"/>
      <c r="F40" s="104"/>
      <c r="G40" s="104"/>
      <c r="H40" s="104"/>
      <c r="I40" s="104"/>
      <c r="J40" s="104"/>
      <c r="K40" s="104"/>
      <c r="L40" s="104"/>
      <c r="M40" s="105"/>
      <c r="N40" s="105"/>
    </row>
    <row r="41" spans="1:14" s="87" customFormat="1" x14ac:dyDescent="0.25">
      <c r="A41" s="103"/>
      <c r="B41" s="103"/>
      <c r="C41" s="103"/>
      <c r="D41" s="103"/>
      <c r="E41" s="104"/>
      <c r="F41" s="104"/>
      <c r="G41" s="104"/>
      <c r="H41" s="104"/>
      <c r="I41" s="104"/>
      <c r="J41" s="104"/>
      <c r="K41" s="104"/>
      <c r="L41" s="104"/>
      <c r="M41" s="105"/>
      <c r="N41" s="105"/>
    </row>
    <row r="44" spans="1:14" ht="15" customHeight="1" x14ac:dyDescent="0.25"/>
    <row r="48" spans="1:14" ht="9.75" customHeight="1" x14ac:dyDescent="0.25"/>
  </sheetData>
  <customSheetViews>
    <customSheetView guid="{005C429F-8448-44DF-83AD-8A930973E873}" topLeftCell="A10">
      <selection activeCell="N35" sqref="N35"/>
      <pageMargins left="0.7" right="0.7" top="0.75" bottom="0.75" header="0.3" footer="0.3"/>
      <pageSetup paperSize="9" scale="92" orientation="portrait" r:id="rId1"/>
    </customSheetView>
  </customSheetViews>
  <mergeCells count="99">
    <mergeCell ref="G37:H37"/>
    <mergeCell ref="I37:J37"/>
    <mergeCell ref="K37:L37"/>
    <mergeCell ref="E36:F36"/>
    <mergeCell ref="G36:H36"/>
    <mergeCell ref="I36:J36"/>
    <mergeCell ref="K36:L36"/>
    <mergeCell ref="G34:H34"/>
    <mergeCell ref="I34:J34"/>
    <mergeCell ref="K34:L34"/>
    <mergeCell ref="E35:F35"/>
    <mergeCell ref="G35:H35"/>
    <mergeCell ref="I35:J35"/>
    <mergeCell ref="K35:L35"/>
    <mergeCell ref="A35:D35"/>
    <mergeCell ref="A34:D34"/>
    <mergeCell ref="A36:D36"/>
    <mergeCell ref="A37:D37"/>
    <mergeCell ref="E34:F34"/>
    <mergeCell ref="E37:F37"/>
    <mergeCell ref="K20:L20"/>
    <mergeCell ref="K24:L24"/>
    <mergeCell ref="K22:L22"/>
    <mergeCell ref="K23:L23"/>
    <mergeCell ref="I25:J25"/>
    <mergeCell ref="A12:N12"/>
    <mergeCell ref="A9:N9"/>
    <mergeCell ref="A5:N7"/>
    <mergeCell ref="A11:N11"/>
    <mergeCell ref="A21:D21"/>
    <mergeCell ref="E21:F21"/>
    <mergeCell ref="G21:H21"/>
    <mergeCell ref="I21:J21"/>
    <mergeCell ref="K21:L21"/>
    <mergeCell ref="A15:D16"/>
    <mergeCell ref="E15:F16"/>
    <mergeCell ref="I15:J16"/>
    <mergeCell ref="K15:L16"/>
    <mergeCell ref="E17:F17"/>
    <mergeCell ref="I17:J17"/>
    <mergeCell ref="K17:L17"/>
    <mergeCell ref="K28:L29"/>
    <mergeCell ref="A25:D25"/>
    <mergeCell ref="E25:F25"/>
    <mergeCell ref="G25:H25"/>
    <mergeCell ref="G28:H29"/>
    <mergeCell ref="E28:F29"/>
    <mergeCell ref="I28:J29"/>
    <mergeCell ref="K31:L31"/>
    <mergeCell ref="K32:L32"/>
    <mergeCell ref="K33:L33"/>
    <mergeCell ref="E32:F32"/>
    <mergeCell ref="E33:F33"/>
    <mergeCell ref="G33:H33"/>
    <mergeCell ref="A31:D31"/>
    <mergeCell ref="A32:D32"/>
    <mergeCell ref="A33:D33"/>
    <mergeCell ref="E31:F31"/>
    <mergeCell ref="I31:J31"/>
    <mergeCell ref="I32:J32"/>
    <mergeCell ref="I33:J33"/>
    <mergeCell ref="G31:H31"/>
    <mergeCell ref="G32:H32"/>
    <mergeCell ref="K18:L18"/>
    <mergeCell ref="K19:L19"/>
    <mergeCell ref="A20:D20"/>
    <mergeCell ref="A22:D22"/>
    <mergeCell ref="A23:D23"/>
    <mergeCell ref="A24:D24"/>
    <mergeCell ref="E20:F20"/>
    <mergeCell ref="E24:F24"/>
    <mergeCell ref="E22:F22"/>
    <mergeCell ref="E23:F23"/>
    <mergeCell ref="G24:H24"/>
    <mergeCell ref="G22:H22"/>
    <mergeCell ref="G23:H23"/>
    <mergeCell ref="K25:L25"/>
    <mergeCell ref="A30:D30"/>
    <mergeCell ref="E30:F30"/>
    <mergeCell ref="G30:H30"/>
    <mergeCell ref="I30:J30"/>
    <mergeCell ref="K30:L30"/>
    <mergeCell ref="I18:J18"/>
    <mergeCell ref="I19:J19"/>
    <mergeCell ref="I20:J20"/>
    <mergeCell ref="I24:J24"/>
    <mergeCell ref="I22:J22"/>
    <mergeCell ref="I23:J23"/>
    <mergeCell ref="A28:D29"/>
    <mergeCell ref="G15:H16"/>
    <mergeCell ref="G17:H17"/>
    <mergeCell ref="G18:H18"/>
    <mergeCell ref="G19:H19"/>
    <mergeCell ref="G20:H20"/>
    <mergeCell ref="A18:D18"/>
    <mergeCell ref="A19:D19"/>
    <mergeCell ref="E18:F18"/>
    <mergeCell ref="E19:F19"/>
    <mergeCell ref="A17:D17"/>
  </mergeCells>
  <pageMargins left="0.7" right="0.7" top="0.75" bottom="0.75" header="0.3" footer="0.3"/>
  <pageSetup paperSize="9" scale="64" orientation="portrait" horizontalDpi="300" verticalDpi="300" r:id="rId2"/>
  <ignoredErrors>
    <ignoredError sqref="M19:M20 M31:N33 M22:M23 M25 N25 N22:N23 N19:N20 M34:N37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7"/>
  <sheetViews>
    <sheetView tabSelected="1" zoomScaleNormal="100" workbookViewId="0"/>
  </sheetViews>
  <sheetFormatPr defaultRowHeight="15" x14ac:dyDescent="0.25"/>
  <cols>
    <col min="1" max="4" width="5.7109375" style="87" customWidth="1"/>
    <col min="5" max="5" width="5.28515625" customWidth="1"/>
    <col min="6" max="8" width="8.85546875" customWidth="1"/>
    <col min="9" max="9" width="13.85546875" customWidth="1"/>
    <col min="10" max="10" width="12.28515625" customWidth="1"/>
    <col min="11" max="22" width="8.85546875" customWidth="1"/>
    <col min="23" max="23" width="13.7109375" bestFit="1" customWidth="1"/>
    <col min="24" max="24" width="8.85546875" customWidth="1"/>
  </cols>
  <sheetData>
    <row r="1" spans="1:20" x14ac:dyDescent="0.25">
      <c r="A1" s="1" t="s">
        <v>14</v>
      </c>
      <c r="B1"/>
      <c r="C1"/>
      <c r="D1"/>
    </row>
    <row r="2" spans="1:20" x14ac:dyDescent="0.25">
      <c r="A2" t="s">
        <v>12</v>
      </c>
      <c r="B2"/>
      <c r="C2"/>
      <c r="D2"/>
    </row>
    <row r="3" spans="1:20" x14ac:dyDescent="0.25">
      <c r="A3" t="s">
        <v>13</v>
      </c>
      <c r="B3"/>
      <c r="C3"/>
      <c r="D3"/>
    </row>
    <row r="5" spans="1:20" x14ac:dyDescent="0.25">
      <c r="A5" s="196" t="s">
        <v>170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69"/>
    </row>
    <row r="6" spans="1:20" x14ac:dyDescent="0.25">
      <c r="A6" s="196" t="s">
        <v>172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69"/>
    </row>
    <row r="7" spans="1:20" x14ac:dyDescent="0.25">
      <c r="A7" s="196" t="s">
        <v>171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69"/>
    </row>
    <row r="8" spans="1:20" ht="15.75" thickBot="1" x14ac:dyDescent="0.3"/>
    <row r="9" spans="1:20" ht="15" customHeight="1" x14ac:dyDescent="0.25">
      <c r="A9" s="162" t="s">
        <v>18</v>
      </c>
      <c r="B9" s="211"/>
      <c r="C9" s="211"/>
      <c r="D9" s="211"/>
      <c r="E9" s="211"/>
      <c r="F9" s="211"/>
      <c r="G9" s="211"/>
      <c r="H9" s="211"/>
      <c r="I9" s="163"/>
      <c r="J9" s="162" t="s">
        <v>147</v>
      </c>
      <c r="K9" s="163"/>
      <c r="L9" s="162" t="s">
        <v>221</v>
      </c>
      <c r="M9" s="163"/>
      <c r="N9" s="162" t="s">
        <v>222</v>
      </c>
      <c r="O9" s="163"/>
      <c r="P9" s="162" t="s">
        <v>223</v>
      </c>
      <c r="Q9" s="163"/>
      <c r="R9" s="18" t="s">
        <v>40</v>
      </c>
      <c r="S9" s="18" t="s">
        <v>40</v>
      </c>
      <c r="T9" s="2"/>
    </row>
    <row r="10" spans="1:20" x14ac:dyDescent="0.25">
      <c r="A10" s="164"/>
      <c r="B10" s="212"/>
      <c r="C10" s="212"/>
      <c r="D10" s="212"/>
      <c r="E10" s="212"/>
      <c r="F10" s="212"/>
      <c r="G10" s="212"/>
      <c r="H10" s="212"/>
      <c r="I10" s="165"/>
      <c r="J10" s="164"/>
      <c r="K10" s="165"/>
      <c r="L10" s="164"/>
      <c r="M10" s="165"/>
      <c r="N10" s="164"/>
      <c r="O10" s="165"/>
      <c r="P10" s="164"/>
      <c r="Q10" s="165"/>
      <c r="R10" s="21" t="s">
        <v>143</v>
      </c>
      <c r="S10" s="19" t="s">
        <v>145</v>
      </c>
      <c r="T10" s="2"/>
    </row>
    <row r="11" spans="1:20" ht="15.75" thickBot="1" x14ac:dyDescent="0.3">
      <c r="A11" s="213">
        <v>1</v>
      </c>
      <c r="B11" s="214"/>
      <c r="C11" s="214"/>
      <c r="D11" s="214"/>
      <c r="E11" s="214"/>
      <c r="F11" s="214"/>
      <c r="G11" s="214"/>
      <c r="H11" s="214"/>
      <c r="I11" s="215"/>
      <c r="J11" s="213">
        <v>2</v>
      </c>
      <c r="K11" s="214"/>
      <c r="L11" s="213">
        <v>3</v>
      </c>
      <c r="M11" s="214"/>
      <c r="N11" s="213">
        <v>4</v>
      </c>
      <c r="O11" s="214"/>
      <c r="P11" s="213">
        <v>5</v>
      </c>
      <c r="Q11" s="214"/>
      <c r="R11" s="20">
        <v>6</v>
      </c>
      <c r="S11" s="20">
        <v>7</v>
      </c>
      <c r="T11" s="2"/>
    </row>
    <row r="12" spans="1:20" s="87" customFormat="1" x14ac:dyDescent="0.25">
      <c r="A12" s="216" t="s">
        <v>240</v>
      </c>
      <c r="B12" s="217"/>
      <c r="C12" s="217"/>
      <c r="D12" s="217"/>
      <c r="E12" s="217"/>
      <c r="F12" s="217"/>
      <c r="G12" s="217"/>
      <c r="H12" s="217"/>
      <c r="I12" s="218"/>
      <c r="J12" s="114"/>
      <c r="K12" s="115"/>
      <c r="L12" s="116"/>
      <c r="M12" s="115"/>
      <c r="N12" s="116"/>
      <c r="O12" s="115"/>
      <c r="P12" s="116"/>
      <c r="Q12" s="115"/>
      <c r="R12" s="117"/>
      <c r="S12" s="117"/>
      <c r="T12" s="2"/>
    </row>
    <row r="13" spans="1:20" x14ac:dyDescent="0.25">
      <c r="A13" s="126">
        <v>6</v>
      </c>
      <c r="B13" s="121"/>
      <c r="C13" s="121"/>
      <c r="D13" s="127"/>
      <c r="E13" s="265" t="s">
        <v>41</v>
      </c>
      <c r="F13" s="265"/>
      <c r="G13" s="265"/>
      <c r="H13" s="265"/>
      <c r="I13" s="266"/>
      <c r="J13" s="257">
        <f>J14+J30+J34+J41</f>
        <v>2012718.2199999997</v>
      </c>
      <c r="K13" s="258"/>
      <c r="L13" s="257">
        <f>L14+L30+L34+L41</f>
        <v>2184500.75</v>
      </c>
      <c r="M13" s="258"/>
      <c r="N13" s="257">
        <f>N14+N30+N34+N41</f>
        <v>2228408.0300000003</v>
      </c>
      <c r="O13" s="258"/>
      <c r="P13" s="277">
        <f>P14+P30+P34+P41</f>
        <v>2237499.8499999996</v>
      </c>
      <c r="Q13" s="277"/>
      <c r="R13" s="108">
        <f>(P13/J13)*100</f>
        <v>111.16806256168337</v>
      </c>
      <c r="S13" s="108">
        <f>P13/N13*100</f>
        <v>100.40799619628005</v>
      </c>
      <c r="T13" s="2"/>
    </row>
    <row r="14" spans="1:20" ht="15" customHeight="1" x14ac:dyDescent="0.25">
      <c r="A14" s="128"/>
      <c r="B14" s="122">
        <v>63</v>
      </c>
      <c r="C14" s="123"/>
      <c r="D14" s="129"/>
      <c r="E14" s="261" t="s">
        <v>19</v>
      </c>
      <c r="F14" s="261"/>
      <c r="G14" s="261"/>
      <c r="H14" s="261"/>
      <c r="I14" s="262"/>
      <c r="J14" s="245">
        <f>+J16+J22+J24</f>
        <v>1649567.66</v>
      </c>
      <c r="K14" s="246"/>
      <c r="L14" s="245">
        <f t="shared" ref="L14" si="0">+L16+L22+L24</f>
        <v>2019936</v>
      </c>
      <c r="M14" s="246"/>
      <c r="N14" s="245">
        <f t="shared" ref="N14" si="1">+N16+N22+N24</f>
        <v>2027432.62</v>
      </c>
      <c r="O14" s="246"/>
      <c r="P14" s="245">
        <f t="shared" ref="P14" si="2">+P16+P22+P24</f>
        <v>2008615.0099999998</v>
      </c>
      <c r="Q14" s="246"/>
      <c r="R14" s="278">
        <f>P14/J14*100</f>
        <v>121.76614871317251</v>
      </c>
      <c r="S14" s="278">
        <f>P14/N14*100</f>
        <v>99.071850289160267</v>
      </c>
      <c r="T14" s="2"/>
    </row>
    <row r="15" spans="1:20" s="87" customFormat="1" ht="15" customHeight="1" x14ac:dyDescent="0.25">
      <c r="A15" s="130"/>
      <c r="B15" s="124"/>
      <c r="C15" s="125"/>
      <c r="D15" s="131"/>
      <c r="E15" s="261"/>
      <c r="F15" s="261"/>
      <c r="G15" s="261"/>
      <c r="H15" s="261"/>
      <c r="I15" s="262"/>
      <c r="J15" s="247"/>
      <c r="K15" s="248"/>
      <c r="L15" s="247"/>
      <c r="M15" s="248"/>
      <c r="N15" s="247"/>
      <c r="O15" s="248"/>
      <c r="P15" s="247"/>
      <c r="Q15" s="248"/>
      <c r="R15" s="278"/>
      <c r="S15" s="278"/>
      <c r="T15" s="2"/>
    </row>
    <row r="16" spans="1:20" ht="15" customHeight="1" x14ac:dyDescent="0.25">
      <c r="A16" s="128"/>
      <c r="B16" s="122"/>
      <c r="C16" s="123">
        <v>636</v>
      </c>
      <c r="D16" s="136"/>
      <c r="E16" s="263" t="s">
        <v>20</v>
      </c>
      <c r="F16" s="263"/>
      <c r="G16" s="263"/>
      <c r="H16" s="263"/>
      <c r="I16" s="264"/>
      <c r="J16" s="251">
        <f t="shared" ref="J16" si="3">J18+J20</f>
        <v>1638519.64</v>
      </c>
      <c r="K16" s="252"/>
      <c r="L16" s="251">
        <f t="shared" ref="L16" si="4">L18+L20</f>
        <v>2014430</v>
      </c>
      <c r="M16" s="252"/>
      <c r="N16" s="251">
        <f>N18+N20</f>
        <v>2015856.5</v>
      </c>
      <c r="O16" s="252"/>
      <c r="P16" s="251">
        <f t="shared" ref="P16" si="5">P18+P20</f>
        <v>1998250.88</v>
      </c>
      <c r="Q16" s="252"/>
      <c r="R16" s="279">
        <f>P16/J16*100</f>
        <v>121.95464925888835</v>
      </c>
      <c r="S16" s="279">
        <f>P16/N16*100</f>
        <v>99.126643191119996</v>
      </c>
      <c r="T16" s="2"/>
    </row>
    <row r="17" spans="1:23" x14ac:dyDescent="0.25">
      <c r="A17" s="130"/>
      <c r="B17" s="124"/>
      <c r="C17" s="125"/>
      <c r="D17" s="131"/>
      <c r="E17" s="263"/>
      <c r="F17" s="263"/>
      <c r="G17" s="263"/>
      <c r="H17" s="263"/>
      <c r="I17" s="264"/>
      <c r="J17" s="253"/>
      <c r="K17" s="254"/>
      <c r="L17" s="253"/>
      <c r="M17" s="254"/>
      <c r="N17" s="253"/>
      <c r="O17" s="254"/>
      <c r="P17" s="253"/>
      <c r="Q17" s="254"/>
      <c r="R17" s="279"/>
      <c r="S17" s="279"/>
      <c r="T17" s="2"/>
    </row>
    <row r="18" spans="1:23" x14ac:dyDescent="0.25">
      <c r="A18" s="128"/>
      <c r="B18" s="122"/>
      <c r="C18" s="123"/>
      <c r="D18" s="136">
        <v>6361</v>
      </c>
      <c r="E18" s="267" t="s">
        <v>21</v>
      </c>
      <c r="F18" s="267"/>
      <c r="G18" s="267"/>
      <c r="H18" s="267"/>
      <c r="I18" s="268"/>
      <c r="J18" s="241">
        <v>1637722.64</v>
      </c>
      <c r="K18" s="242"/>
      <c r="L18" s="241">
        <f>2019936-L20-L23</f>
        <v>2013430</v>
      </c>
      <c r="M18" s="242"/>
      <c r="N18" s="241">
        <f>1991700+20000+230+500+1426.5</f>
        <v>2013856.5</v>
      </c>
      <c r="O18" s="242"/>
      <c r="P18" s="241">
        <v>1997453.88</v>
      </c>
      <c r="Q18" s="242"/>
      <c r="R18" s="279">
        <f>P18/J18*100</f>
        <v>121.96533351947801</v>
      </c>
      <c r="S18" s="279">
        <f t="shared" ref="S18" si="6">P18/N18*100</f>
        <v>99.185511976647788</v>
      </c>
      <c r="T18" s="2"/>
    </row>
    <row r="19" spans="1:23" ht="15" customHeight="1" x14ac:dyDescent="0.25">
      <c r="A19" s="130"/>
      <c r="B19" s="124"/>
      <c r="C19" s="125"/>
      <c r="D19" s="131"/>
      <c r="E19" s="269"/>
      <c r="F19" s="269"/>
      <c r="G19" s="269"/>
      <c r="H19" s="269"/>
      <c r="I19" s="270"/>
      <c r="J19" s="255"/>
      <c r="K19" s="256"/>
      <c r="L19" s="255"/>
      <c r="M19" s="256"/>
      <c r="N19" s="255"/>
      <c r="O19" s="256"/>
      <c r="P19" s="255"/>
      <c r="Q19" s="256"/>
      <c r="R19" s="279"/>
      <c r="S19" s="279"/>
      <c r="T19" s="2"/>
      <c r="U19" s="26"/>
    </row>
    <row r="20" spans="1:23" x14ac:dyDescent="0.25">
      <c r="A20" s="128"/>
      <c r="B20" s="122"/>
      <c r="C20" s="123"/>
      <c r="D20" s="136">
        <v>6362</v>
      </c>
      <c r="E20" s="267" t="s">
        <v>22</v>
      </c>
      <c r="F20" s="267"/>
      <c r="G20" s="267"/>
      <c r="H20" s="267"/>
      <c r="I20" s="268"/>
      <c r="J20" s="241">
        <v>797</v>
      </c>
      <c r="K20" s="242"/>
      <c r="L20" s="241">
        <v>1000</v>
      </c>
      <c r="M20" s="242"/>
      <c r="N20" s="241">
        <v>2000</v>
      </c>
      <c r="O20" s="242"/>
      <c r="P20" s="241">
        <v>797</v>
      </c>
      <c r="Q20" s="242"/>
      <c r="R20" s="279">
        <f t="shared" ref="R20" si="7">P20/J20*100</f>
        <v>100</v>
      </c>
      <c r="S20" s="279">
        <f t="shared" ref="S20" si="8">P20/N20*100</f>
        <v>39.85</v>
      </c>
      <c r="T20" s="2"/>
      <c r="U20" s="26"/>
    </row>
    <row r="21" spans="1:23" ht="15" customHeight="1" x14ac:dyDescent="0.25">
      <c r="A21" s="130"/>
      <c r="B21" s="124"/>
      <c r="C21" s="125"/>
      <c r="D21" s="131"/>
      <c r="E21" s="269"/>
      <c r="F21" s="269"/>
      <c r="G21" s="269"/>
      <c r="H21" s="269"/>
      <c r="I21" s="270"/>
      <c r="J21" s="255"/>
      <c r="K21" s="256"/>
      <c r="L21" s="255"/>
      <c r="M21" s="256"/>
      <c r="N21" s="255"/>
      <c r="O21" s="256"/>
      <c r="P21" s="255"/>
      <c r="Q21" s="256"/>
      <c r="R21" s="279"/>
      <c r="S21" s="279"/>
      <c r="T21" s="2"/>
    </row>
    <row r="22" spans="1:23" x14ac:dyDescent="0.25">
      <c r="A22" s="130"/>
      <c r="B22" s="124"/>
      <c r="C22" s="125">
        <v>638</v>
      </c>
      <c r="D22" s="137"/>
      <c r="E22" s="4" t="s">
        <v>33</v>
      </c>
      <c r="F22" s="4"/>
      <c r="G22" s="4"/>
      <c r="H22" s="4"/>
      <c r="I22" s="12"/>
      <c r="J22" s="239">
        <f t="shared" ref="J22" si="9">J23</f>
        <v>0</v>
      </c>
      <c r="K22" s="240"/>
      <c r="L22" s="239">
        <f t="shared" ref="L22:N22" si="10">L23</f>
        <v>5506</v>
      </c>
      <c r="M22" s="240"/>
      <c r="N22" s="239">
        <f t="shared" si="10"/>
        <v>5506</v>
      </c>
      <c r="O22" s="240"/>
      <c r="P22" s="239">
        <f t="shared" ref="P22" si="11">P23</f>
        <v>5506</v>
      </c>
      <c r="Q22" s="240"/>
      <c r="R22" s="109" t="e">
        <f>P22/J22*100</f>
        <v>#DIV/0!</v>
      </c>
      <c r="S22" s="109">
        <f>P22/N22*100</f>
        <v>100</v>
      </c>
      <c r="T22" s="2"/>
    </row>
    <row r="23" spans="1:23" x14ac:dyDescent="0.25">
      <c r="A23" s="130"/>
      <c r="B23" s="124"/>
      <c r="C23" s="125"/>
      <c r="D23" s="137">
        <v>6381</v>
      </c>
      <c r="E23" s="7" t="s">
        <v>33</v>
      </c>
      <c r="F23" s="7"/>
      <c r="G23" s="7"/>
      <c r="H23" s="7"/>
      <c r="I23" s="14"/>
      <c r="J23" s="249"/>
      <c r="K23" s="250"/>
      <c r="L23" s="249">
        <v>5506</v>
      </c>
      <c r="M23" s="250"/>
      <c r="N23" s="249">
        <v>5506</v>
      </c>
      <c r="O23" s="250"/>
      <c r="P23" s="249">
        <v>5506</v>
      </c>
      <c r="Q23" s="250"/>
      <c r="R23" s="109" t="e">
        <f>P23/J23*100</f>
        <v>#DIV/0!</v>
      </c>
      <c r="S23" s="109">
        <f>P23/N23*100</f>
        <v>100</v>
      </c>
      <c r="T23" s="2"/>
    </row>
    <row r="24" spans="1:23" x14ac:dyDescent="0.25">
      <c r="A24" s="132"/>
      <c r="B24" s="133"/>
      <c r="C24" s="134">
        <v>639</v>
      </c>
      <c r="D24" s="135"/>
      <c r="E24" s="271" t="s">
        <v>138</v>
      </c>
      <c r="F24" s="271"/>
      <c r="G24" s="271"/>
      <c r="H24" s="271"/>
      <c r="I24" s="272"/>
      <c r="J24" s="251">
        <f>J26+J28</f>
        <v>11048.019999999999</v>
      </c>
      <c r="K24" s="252"/>
      <c r="L24" s="251">
        <f t="shared" ref="L24" si="12">L26+L28</f>
        <v>0</v>
      </c>
      <c r="M24" s="252"/>
      <c r="N24" s="251">
        <f>N26+N28</f>
        <v>6070.12</v>
      </c>
      <c r="O24" s="252"/>
      <c r="P24" s="251">
        <f>P26+P28</f>
        <v>4858.13</v>
      </c>
      <c r="Q24" s="252"/>
      <c r="R24" s="279">
        <f>P24/J24*100</f>
        <v>43.972856674770689</v>
      </c>
      <c r="S24" s="280">
        <f>P24/N24*100</f>
        <v>80.03350839851602</v>
      </c>
      <c r="T24" s="2"/>
    </row>
    <row r="25" spans="1:23" x14ac:dyDescent="0.25">
      <c r="A25" s="130"/>
      <c r="B25" s="124"/>
      <c r="C25" s="125"/>
      <c r="D25" s="137"/>
      <c r="E25" s="273"/>
      <c r="F25" s="273"/>
      <c r="G25" s="273"/>
      <c r="H25" s="273"/>
      <c r="I25" s="274"/>
      <c r="J25" s="253"/>
      <c r="K25" s="254"/>
      <c r="L25" s="253"/>
      <c r="M25" s="254"/>
      <c r="N25" s="253"/>
      <c r="O25" s="254"/>
      <c r="P25" s="253"/>
      <c r="Q25" s="254"/>
      <c r="R25" s="279"/>
      <c r="S25" s="281"/>
      <c r="T25" s="2"/>
    </row>
    <row r="26" spans="1:23" x14ac:dyDescent="0.25">
      <c r="A26" s="128"/>
      <c r="B26" s="122"/>
      <c r="C26" s="123"/>
      <c r="D26" s="136">
        <v>6391</v>
      </c>
      <c r="E26" s="292" t="s">
        <v>140</v>
      </c>
      <c r="F26" s="292"/>
      <c r="G26" s="292"/>
      <c r="H26" s="292"/>
      <c r="I26" s="293"/>
      <c r="J26" s="241">
        <v>1557.64</v>
      </c>
      <c r="K26" s="242"/>
      <c r="L26" s="241"/>
      <c r="M26" s="242"/>
      <c r="N26" s="241">
        <f>309.29+339.68</f>
        <v>648.97</v>
      </c>
      <c r="O26" s="242"/>
      <c r="P26" s="241">
        <v>423.04</v>
      </c>
      <c r="Q26" s="242"/>
      <c r="R26" s="279">
        <f>P26/J26*100</f>
        <v>27.159035463906932</v>
      </c>
      <c r="S26" s="280">
        <f>P26/N26*100</f>
        <v>65.186372251413786</v>
      </c>
      <c r="T26" s="2"/>
    </row>
    <row r="27" spans="1:23" x14ac:dyDescent="0.25">
      <c r="A27" s="130"/>
      <c r="B27" s="124"/>
      <c r="C27" s="125"/>
      <c r="D27" s="131"/>
      <c r="E27" s="294"/>
      <c r="F27" s="294"/>
      <c r="G27" s="294"/>
      <c r="H27" s="294"/>
      <c r="I27" s="295"/>
      <c r="J27" s="255"/>
      <c r="K27" s="256"/>
      <c r="L27" s="255"/>
      <c r="M27" s="256"/>
      <c r="N27" s="255"/>
      <c r="O27" s="256"/>
      <c r="P27" s="255"/>
      <c r="Q27" s="256"/>
      <c r="R27" s="279"/>
      <c r="S27" s="281"/>
      <c r="T27" s="2"/>
      <c r="V27" s="26"/>
    </row>
    <row r="28" spans="1:23" x14ac:dyDescent="0.25">
      <c r="A28" s="128"/>
      <c r="B28" s="122"/>
      <c r="C28" s="123"/>
      <c r="D28" s="136">
        <v>6393</v>
      </c>
      <c r="E28" s="292" t="s">
        <v>139</v>
      </c>
      <c r="F28" s="292"/>
      <c r="G28" s="292"/>
      <c r="H28" s="292"/>
      <c r="I28" s="293"/>
      <c r="J28" s="241">
        <v>9490.3799999999992</v>
      </c>
      <c r="K28" s="242"/>
      <c r="L28" s="241"/>
      <c r="M28" s="242"/>
      <c r="N28" s="241">
        <f>1874.47+3546.68</f>
        <v>5421.15</v>
      </c>
      <c r="O28" s="242"/>
      <c r="P28" s="241">
        <v>4435.09</v>
      </c>
      <c r="Q28" s="242"/>
      <c r="R28" s="279">
        <f>P28/J28*100</f>
        <v>46.732480680436403</v>
      </c>
      <c r="S28" s="280">
        <f>P28/N28*100</f>
        <v>81.810870387279451</v>
      </c>
      <c r="T28" s="2"/>
    </row>
    <row r="29" spans="1:23" x14ac:dyDescent="0.25">
      <c r="A29" s="130"/>
      <c r="B29" s="124"/>
      <c r="C29" s="125"/>
      <c r="D29" s="131"/>
      <c r="E29" s="294"/>
      <c r="F29" s="294"/>
      <c r="G29" s="294"/>
      <c r="H29" s="294"/>
      <c r="I29" s="295"/>
      <c r="J29" s="255"/>
      <c r="K29" s="256"/>
      <c r="L29" s="255"/>
      <c r="M29" s="256"/>
      <c r="N29" s="255"/>
      <c r="O29" s="256"/>
      <c r="P29" s="255"/>
      <c r="Q29" s="256"/>
      <c r="R29" s="279"/>
      <c r="S29" s="281"/>
      <c r="T29" s="2"/>
    </row>
    <row r="30" spans="1:23" x14ac:dyDescent="0.25">
      <c r="A30" s="128"/>
      <c r="B30" s="122">
        <v>65</v>
      </c>
      <c r="C30" s="123"/>
      <c r="D30" s="136"/>
      <c r="E30" s="261" t="s">
        <v>23</v>
      </c>
      <c r="F30" s="261"/>
      <c r="G30" s="261"/>
      <c r="H30" s="261"/>
      <c r="I30" s="262"/>
      <c r="J30" s="245">
        <f>J32</f>
        <v>1368.97</v>
      </c>
      <c r="K30" s="246"/>
      <c r="L30" s="245">
        <f>L32</f>
        <v>600</v>
      </c>
      <c r="M30" s="246"/>
      <c r="N30" s="245">
        <f>N32</f>
        <v>600</v>
      </c>
      <c r="O30" s="246"/>
      <c r="P30" s="245">
        <f>P32</f>
        <v>1509</v>
      </c>
      <c r="Q30" s="246"/>
      <c r="R30" s="278">
        <f>P30/J30*100</f>
        <v>110.22885819265579</v>
      </c>
      <c r="S30" s="278">
        <f>P30/N30*100</f>
        <v>251.5</v>
      </c>
      <c r="T30" s="2"/>
    </row>
    <row r="31" spans="1:23" x14ac:dyDescent="0.25">
      <c r="A31" s="130"/>
      <c r="B31" s="124"/>
      <c r="C31" s="125"/>
      <c r="D31" s="131"/>
      <c r="E31" s="261"/>
      <c r="F31" s="261"/>
      <c r="G31" s="261"/>
      <c r="H31" s="261"/>
      <c r="I31" s="262"/>
      <c r="J31" s="247"/>
      <c r="K31" s="248"/>
      <c r="L31" s="247"/>
      <c r="M31" s="248"/>
      <c r="N31" s="247"/>
      <c r="O31" s="248"/>
      <c r="P31" s="247"/>
      <c r="Q31" s="248"/>
      <c r="R31" s="278"/>
      <c r="S31" s="278"/>
      <c r="T31" s="2"/>
      <c r="W31" s="87"/>
    </row>
    <row r="32" spans="1:23" x14ac:dyDescent="0.25">
      <c r="A32" s="132"/>
      <c r="B32" s="133"/>
      <c r="C32" s="134">
        <v>652</v>
      </c>
      <c r="D32" s="135"/>
      <c r="E32" s="4" t="s">
        <v>24</v>
      </c>
      <c r="F32" s="4"/>
      <c r="G32" s="4"/>
      <c r="H32" s="4"/>
      <c r="I32" s="12"/>
      <c r="J32" s="239">
        <f>J33</f>
        <v>1368.97</v>
      </c>
      <c r="K32" s="240"/>
      <c r="L32" s="239">
        <f t="shared" ref="L32" si="13">L33</f>
        <v>600</v>
      </c>
      <c r="M32" s="240"/>
      <c r="N32" s="239">
        <f t="shared" ref="N32" si="14">N33</f>
        <v>600</v>
      </c>
      <c r="O32" s="240"/>
      <c r="P32" s="239">
        <f t="shared" ref="P32" si="15">P33</f>
        <v>1509</v>
      </c>
      <c r="Q32" s="240"/>
      <c r="R32" s="109">
        <f>P32/J32*100</f>
        <v>110.22885819265579</v>
      </c>
      <c r="S32" s="109">
        <f>P32/N32*100</f>
        <v>251.5</v>
      </c>
      <c r="T32" s="2"/>
      <c r="W32" s="87"/>
    </row>
    <row r="33" spans="1:23" x14ac:dyDescent="0.25">
      <c r="A33" s="132"/>
      <c r="B33" s="133"/>
      <c r="C33" s="134"/>
      <c r="D33" s="135">
        <v>6526</v>
      </c>
      <c r="E33" s="7" t="s">
        <v>25</v>
      </c>
      <c r="F33" s="7"/>
      <c r="G33" s="7"/>
      <c r="H33" s="7"/>
      <c r="I33" s="14"/>
      <c r="J33" s="249">
        <v>1368.97</v>
      </c>
      <c r="K33" s="250"/>
      <c r="L33" s="249">
        <v>600</v>
      </c>
      <c r="M33" s="250"/>
      <c r="N33" s="249">
        <v>600</v>
      </c>
      <c r="O33" s="250"/>
      <c r="P33" s="249">
        <v>1509</v>
      </c>
      <c r="Q33" s="250"/>
      <c r="R33" s="109">
        <f>P33/J33*100</f>
        <v>110.22885819265579</v>
      </c>
      <c r="S33" s="109">
        <f>P33/N33*100</f>
        <v>251.5</v>
      </c>
      <c r="T33" s="2"/>
      <c r="V33" s="26"/>
      <c r="W33" s="87"/>
    </row>
    <row r="34" spans="1:23" x14ac:dyDescent="0.25">
      <c r="A34" s="128"/>
      <c r="B34" s="122">
        <v>66</v>
      </c>
      <c r="C34" s="123"/>
      <c r="D34" s="136"/>
      <c r="E34" s="261" t="s">
        <v>34</v>
      </c>
      <c r="F34" s="261"/>
      <c r="G34" s="261"/>
      <c r="H34" s="261"/>
      <c r="I34" s="262"/>
      <c r="J34" s="245">
        <f t="shared" ref="J34" si="16">J36+J38</f>
        <v>16418</v>
      </c>
      <c r="K34" s="246"/>
      <c r="L34" s="245">
        <f t="shared" ref="L34:N34" si="17">L36+L38</f>
        <v>3100</v>
      </c>
      <c r="M34" s="246"/>
      <c r="N34" s="245">
        <f t="shared" si="17"/>
        <v>3100</v>
      </c>
      <c r="O34" s="246"/>
      <c r="P34" s="245">
        <f t="shared" ref="P34" si="18">P36+P38</f>
        <v>34963.979999999996</v>
      </c>
      <c r="Q34" s="246"/>
      <c r="R34" s="278">
        <f>P34/J34*100</f>
        <v>212.9612620294798</v>
      </c>
      <c r="S34" s="278">
        <f>P34/N34*100</f>
        <v>1127.8703225806451</v>
      </c>
      <c r="T34" s="2"/>
      <c r="W34" s="87"/>
    </row>
    <row r="35" spans="1:23" x14ac:dyDescent="0.25">
      <c r="A35" s="130"/>
      <c r="B35" s="124"/>
      <c r="C35" s="125"/>
      <c r="D35" s="131"/>
      <c r="E35" s="261"/>
      <c r="F35" s="261"/>
      <c r="G35" s="261"/>
      <c r="H35" s="261"/>
      <c r="I35" s="262"/>
      <c r="J35" s="247"/>
      <c r="K35" s="248"/>
      <c r="L35" s="247"/>
      <c r="M35" s="248"/>
      <c r="N35" s="247"/>
      <c r="O35" s="248"/>
      <c r="P35" s="247"/>
      <c r="Q35" s="248"/>
      <c r="R35" s="278"/>
      <c r="S35" s="278"/>
      <c r="T35" s="2"/>
      <c r="V35" s="26"/>
      <c r="W35" s="87"/>
    </row>
    <row r="36" spans="1:23" x14ac:dyDescent="0.25">
      <c r="A36" s="130"/>
      <c r="B36" s="124"/>
      <c r="C36" s="125">
        <v>661</v>
      </c>
      <c r="D36" s="137"/>
      <c r="E36" s="4" t="s">
        <v>26</v>
      </c>
      <c r="F36" s="4"/>
      <c r="G36" s="4"/>
      <c r="H36" s="4"/>
      <c r="I36" s="12"/>
      <c r="J36" s="239">
        <f t="shared" ref="J36" si="19">J37</f>
        <v>6431.45</v>
      </c>
      <c r="K36" s="240"/>
      <c r="L36" s="239">
        <f t="shared" ref="L36:N36" si="20">L37</f>
        <v>3100</v>
      </c>
      <c r="M36" s="240"/>
      <c r="N36" s="239">
        <f t="shared" si="20"/>
        <v>3100</v>
      </c>
      <c r="O36" s="240"/>
      <c r="P36" s="239">
        <f t="shared" ref="P36" si="21">P37</f>
        <v>28441.98</v>
      </c>
      <c r="Q36" s="240"/>
      <c r="R36" s="109">
        <f>P36/J36*100</f>
        <v>442.23277798941137</v>
      </c>
      <c r="S36" s="109">
        <f>P36/N36*100</f>
        <v>917.48322580645163</v>
      </c>
      <c r="T36" s="2"/>
      <c r="W36" s="87"/>
    </row>
    <row r="37" spans="1:23" x14ac:dyDescent="0.25">
      <c r="A37" s="132"/>
      <c r="B37" s="133"/>
      <c r="C37" s="134"/>
      <c r="D37" s="135">
        <v>6615</v>
      </c>
      <c r="E37" s="7" t="s">
        <v>27</v>
      </c>
      <c r="F37" s="7"/>
      <c r="G37" s="7"/>
      <c r="H37" s="7"/>
      <c r="I37" s="14"/>
      <c r="J37" s="249">
        <v>6431.45</v>
      </c>
      <c r="K37" s="250"/>
      <c r="L37" s="249">
        <v>3100</v>
      </c>
      <c r="M37" s="250"/>
      <c r="N37" s="249">
        <v>3100</v>
      </c>
      <c r="O37" s="250"/>
      <c r="P37" s="249">
        <v>28441.98</v>
      </c>
      <c r="Q37" s="250"/>
      <c r="R37" s="109">
        <f>P37/J37*100</f>
        <v>442.23277798941137</v>
      </c>
      <c r="S37" s="109">
        <f>P37/N37*100</f>
        <v>917.48322580645163</v>
      </c>
      <c r="T37" s="2"/>
      <c r="V37" s="26"/>
      <c r="W37" s="87"/>
    </row>
    <row r="38" spans="1:23" x14ac:dyDescent="0.25">
      <c r="A38" s="128"/>
      <c r="B38" s="122"/>
      <c r="C38" s="123">
        <v>663</v>
      </c>
      <c r="D38" s="136"/>
      <c r="E38" s="263" t="s">
        <v>35</v>
      </c>
      <c r="F38" s="263"/>
      <c r="G38" s="263"/>
      <c r="H38" s="263"/>
      <c r="I38" s="264"/>
      <c r="J38" s="251">
        <f t="shared" ref="J38" si="22">J40</f>
        <v>9986.5499999999993</v>
      </c>
      <c r="K38" s="252"/>
      <c r="L38" s="245">
        <f t="shared" ref="L38:N38" si="23">L40</f>
        <v>0</v>
      </c>
      <c r="M38" s="246"/>
      <c r="N38" s="245">
        <f t="shared" si="23"/>
        <v>0</v>
      </c>
      <c r="O38" s="246"/>
      <c r="P38" s="251">
        <f t="shared" ref="P38" si="24">P40</f>
        <v>6522</v>
      </c>
      <c r="Q38" s="252"/>
      <c r="R38" s="279">
        <f>P38/J38*100</f>
        <v>65.307839043513525</v>
      </c>
      <c r="S38" s="279" t="e">
        <f>P38/N38*100</f>
        <v>#DIV/0!</v>
      </c>
      <c r="T38" s="2"/>
    </row>
    <row r="39" spans="1:23" x14ac:dyDescent="0.25">
      <c r="A39" s="130"/>
      <c r="B39" s="124"/>
      <c r="C39" s="125"/>
      <c r="D39" s="131"/>
      <c r="E39" s="263"/>
      <c r="F39" s="263"/>
      <c r="G39" s="263"/>
      <c r="H39" s="263"/>
      <c r="I39" s="264"/>
      <c r="J39" s="253"/>
      <c r="K39" s="254"/>
      <c r="L39" s="247"/>
      <c r="M39" s="248"/>
      <c r="N39" s="247"/>
      <c r="O39" s="248"/>
      <c r="P39" s="253"/>
      <c r="Q39" s="254"/>
      <c r="R39" s="279"/>
      <c r="S39" s="279"/>
      <c r="T39" s="2"/>
    </row>
    <row r="40" spans="1:23" x14ac:dyDescent="0.25">
      <c r="A40" s="130"/>
      <c r="B40" s="124"/>
      <c r="C40" s="125"/>
      <c r="D40" s="137">
        <v>6631</v>
      </c>
      <c r="E40" s="7" t="s">
        <v>28</v>
      </c>
      <c r="F40" s="7"/>
      <c r="G40" s="7"/>
      <c r="H40" s="7"/>
      <c r="I40" s="14"/>
      <c r="J40" s="249">
        <v>9986.5499999999993</v>
      </c>
      <c r="K40" s="250"/>
      <c r="L40" s="249"/>
      <c r="M40" s="250"/>
      <c r="N40" s="249">
        <v>0</v>
      </c>
      <c r="O40" s="250"/>
      <c r="P40" s="249">
        <v>6522</v>
      </c>
      <c r="Q40" s="250"/>
      <c r="R40" s="109">
        <f>P40/J40*100</f>
        <v>65.307839043513525</v>
      </c>
      <c r="S40" s="109" t="e">
        <f>P40/N40*100</f>
        <v>#DIV/0!</v>
      </c>
      <c r="T40" s="2"/>
    </row>
    <row r="41" spans="1:23" x14ac:dyDescent="0.25">
      <c r="A41" s="128"/>
      <c r="B41" s="122">
        <v>67</v>
      </c>
      <c r="C41" s="123"/>
      <c r="D41" s="136"/>
      <c r="E41" s="261" t="s">
        <v>29</v>
      </c>
      <c r="F41" s="261"/>
      <c r="G41" s="261"/>
      <c r="H41" s="261"/>
      <c r="I41" s="262"/>
      <c r="J41" s="245">
        <f t="shared" ref="J41" si="25">J43</f>
        <v>345363.58999999997</v>
      </c>
      <c r="K41" s="246"/>
      <c r="L41" s="245">
        <f t="shared" ref="L41:N41" si="26">L43</f>
        <v>160864.75</v>
      </c>
      <c r="M41" s="246"/>
      <c r="N41" s="245">
        <f t="shared" si="26"/>
        <v>197275.41</v>
      </c>
      <c r="O41" s="246"/>
      <c r="P41" s="245">
        <f t="shared" ref="P41" si="27">P43</f>
        <v>192411.86</v>
      </c>
      <c r="Q41" s="246"/>
      <c r="R41" s="278">
        <f>P41/J41*100</f>
        <v>55.712838750604831</v>
      </c>
      <c r="S41" s="278">
        <f>P41/N41*100</f>
        <v>97.534639517413751</v>
      </c>
      <c r="T41" s="2"/>
      <c r="V41" s="26"/>
    </row>
    <row r="42" spans="1:23" x14ac:dyDescent="0.25">
      <c r="A42" s="130"/>
      <c r="B42" s="124"/>
      <c r="C42" s="125"/>
      <c r="D42" s="137"/>
      <c r="E42" s="261"/>
      <c r="F42" s="261"/>
      <c r="G42" s="261"/>
      <c r="H42" s="261"/>
      <c r="I42" s="262"/>
      <c r="J42" s="247"/>
      <c r="K42" s="248"/>
      <c r="L42" s="247"/>
      <c r="M42" s="248"/>
      <c r="N42" s="247"/>
      <c r="O42" s="248"/>
      <c r="P42" s="247"/>
      <c r="Q42" s="248"/>
      <c r="R42" s="278"/>
      <c r="S42" s="278"/>
      <c r="T42" s="2"/>
    </row>
    <row r="43" spans="1:23" x14ac:dyDescent="0.25">
      <c r="A43" s="128"/>
      <c r="B43" s="122"/>
      <c r="C43" s="123">
        <v>671</v>
      </c>
      <c r="D43" s="136"/>
      <c r="E43" s="263" t="s">
        <v>30</v>
      </c>
      <c r="F43" s="263"/>
      <c r="G43" s="263"/>
      <c r="H43" s="263"/>
      <c r="I43" s="264"/>
      <c r="J43" s="251">
        <f>J45+J47</f>
        <v>345363.58999999997</v>
      </c>
      <c r="K43" s="252"/>
      <c r="L43" s="251">
        <f t="shared" ref="L43:N43" si="28">L45+L47</f>
        <v>160864.75</v>
      </c>
      <c r="M43" s="252"/>
      <c r="N43" s="251">
        <f t="shared" si="28"/>
        <v>197275.41</v>
      </c>
      <c r="O43" s="252"/>
      <c r="P43" s="251">
        <f>P45+P47</f>
        <v>192411.86</v>
      </c>
      <c r="Q43" s="252"/>
      <c r="R43" s="279">
        <f t="shared" ref="R43" si="29">P43/J43*100</f>
        <v>55.712838750604831</v>
      </c>
      <c r="S43" s="279">
        <f t="shared" ref="S43" si="30">P43/N43*100</f>
        <v>97.534639517413751</v>
      </c>
      <c r="T43" s="2"/>
      <c r="V43" s="26"/>
    </row>
    <row r="44" spans="1:23" ht="15" customHeight="1" x14ac:dyDescent="0.25">
      <c r="A44" s="130"/>
      <c r="B44" s="124"/>
      <c r="C44" s="125"/>
      <c r="D44" s="137"/>
      <c r="E44" s="263"/>
      <c r="F44" s="263"/>
      <c r="G44" s="263"/>
      <c r="H44" s="263"/>
      <c r="I44" s="264"/>
      <c r="J44" s="253"/>
      <c r="K44" s="254"/>
      <c r="L44" s="253"/>
      <c r="M44" s="254"/>
      <c r="N44" s="253"/>
      <c r="O44" s="254"/>
      <c r="P44" s="253"/>
      <c r="Q44" s="254"/>
      <c r="R44" s="279"/>
      <c r="S44" s="279"/>
      <c r="T44" s="2"/>
    </row>
    <row r="45" spans="1:23" x14ac:dyDescent="0.25">
      <c r="A45" s="128"/>
      <c r="B45" s="122"/>
      <c r="C45" s="123"/>
      <c r="D45" s="136">
        <v>6711</v>
      </c>
      <c r="E45" s="259" t="s">
        <v>31</v>
      </c>
      <c r="F45" s="259"/>
      <c r="G45" s="259"/>
      <c r="H45" s="259"/>
      <c r="I45" s="260"/>
      <c r="J45" s="241">
        <v>199459.88</v>
      </c>
      <c r="K45" s="242"/>
      <c r="L45" s="241">
        <v>160864.75</v>
      </c>
      <c r="M45" s="242"/>
      <c r="N45" s="241">
        <f>29305.55+2183.76+4921.35+160864.75</f>
        <v>197275.41</v>
      </c>
      <c r="O45" s="242"/>
      <c r="P45" s="241">
        <v>192411.86</v>
      </c>
      <c r="Q45" s="242"/>
      <c r="R45" s="279">
        <f t="shared" ref="R45" si="31">P45/J45*100</f>
        <v>96.466447287544739</v>
      </c>
      <c r="S45" s="279">
        <f t="shared" ref="S45" si="32">P45/N45*100</f>
        <v>97.534639517413751</v>
      </c>
      <c r="T45" s="2"/>
      <c r="V45" s="26"/>
    </row>
    <row r="46" spans="1:23" x14ac:dyDescent="0.25">
      <c r="A46" s="130"/>
      <c r="B46" s="124"/>
      <c r="C46" s="125"/>
      <c r="D46" s="137"/>
      <c r="E46" s="259"/>
      <c r="F46" s="259"/>
      <c r="G46" s="259"/>
      <c r="H46" s="259"/>
      <c r="I46" s="260"/>
      <c r="J46" s="255"/>
      <c r="K46" s="256"/>
      <c r="L46" s="255"/>
      <c r="M46" s="256"/>
      <c r="N46" s="255"/>
      <c r="O46" s="256"/>
      <c r="P46" s="255"/>
      <c r="Q46" s="256"/>
      <c r="R46" s="279"/>
      <c r="S46" s="279"/>
      <c r="T46" s="2"/>
    </row>
    <row r="47" spans="1:23" x14ac:dyDescent="0.25">
      <c r="A47" s="128"/>
      <c r="B47" s="122"/>
      <c r="C47" s="123"/>
      <c r="D47" s="136">
        <v>6712</v>
      </c>
      <c r="E47" s="259" t="s">
        <v>36</v>
      </c>
      <c r="F47" s="259"/>
      <c r="G47" s="259"/>
      <c r="H47" s="259"/>
      <c r="I47" s="260"/>
      <c r="J47" s="241">
        <v>145903.71</v>
      </c>
      <c r="K47" s="242"/>
      <c r="L47" s="241"/>
      <c r="M47" s="242"/>
      <c r="N47" s="241"/>
      <c r="O47" s="242"/>
      <c r="P47" s="241"/>
      <c r="Q47" s="242"/>
      <c r="R47" s="279">
        <f t="shared" ref="R47" si="33">P47/J47*100</f>
        <v>0</v>
      </c>
      <c r="S47" s="279" t="e">
        <f t="shared" ref="S47" si="34">P47/N47*100</f>
        <v>#DIV/0!</v>
      </c>
      <c r="T47" s="2"/>
      <c r="V47" s="26"/>
    </row>
    <row r="48" spans="1:23" x14ac:dyDescent="0.25">
      <c r="A48" s="130"/>
      <c r="B48" s="124"/>
      <c r="C48" s="125"/>
      <c r="D48" s="137"/>
      <c r="E48" s="259"/>
      <c r="F48" s="259"/>
      <c r="G48" s="259"/>
      <c r="H48" s="259"/>
      <c r="I48" s="260"/>
      <c r="J48" s="255"/>
      <c r="K48" s="256"/>
      <c r="L48" s="255"/>
      <c r="M48" s="256"/>
      <c r="N48" s="255"/>
      <c r="O48" s="256"/>
      <c r="P48" s="255"/>
      <c r="Q48" s="256"/>
      <c r="R48" s="279"/>
      <c r="S48" s="279"/>
      <c r="T48" s="2"/>
    </row>
    <row r="49" spans="1:20" x14ac:dyDescent="0.25">
      <c r="A49" s="145">
        <v>9</v>
      </c>
      <c r="B49" s="139"/>
      <c r="C49" s="139"/>
      <c r="D49" s="140"/>
      <c r="E49" s="6" t="s">
        <v>32</v>
      </c>
      <c r="F49" s="6"/>
      <c r="G49" s="6"/>
      <c r="H49" s="6"/>
      <c r="I49" s="15"/>
      <c r="J49" s="235">
        <f t="shared" ref="J49" si="35">J50</f>
        <v>30664.7</v>
      </c>
      <c r="K49" s="236"/>
      <c r="L49" s="235">
        <f>L50</f>
        <v>15497.11</v>
      </c>
      <c r="M49" s="236"/>
      <c r="N49" s="235">
        <f t="shared" ref="N49" si="36">N50</f>
        <v>15497.11</v>
      </c>
      <c r="O49" s="236"/>
      <c r="P49" s="235">
        <f t="shared" ref="P49" si="37">P50</f>
        <v>15497.11</v>
      </c>
      <c r="Q49" s="236"/>
      <c r="R49" s="110">
        <f>P49/J49*100</f>
        <v>50.537295326548119</v>
      </c>
      <c r="S49" s="110">
        <f>P49/N49*100</f>
        <v>100</v>
      </c>
      <c r="T49" s="2"/>
    </row>
    <row r="50" spans="1:20" x14ac:dyDescent="0.25">
      <c r="A50" s="130"/>
      <c r="B50" s="124">
        <v>92</v>
      </c>
      <c r="C50" s="125"/>
      <c r="D50" s="137"/>
      <c r="E50" s="5" t="s">
        <v>37</v>
      </c>
      <c r="F50" s="5"/>
      <c r="G50" s="5"/>
      <c r="H50" s="5"/>
      <c r="I50" s="17"/>
      <c r="J50" s="237">
        <f>J51</f>
        <v>30664.7</v>
      </c>
      <c r="K50" s="238"/>
      <c r="L50" s="237">
        <f>L51</f>
        <v>15497.11</v>
      </c>
      <c r="M50" s="238"/>
      <c r="N50" s="237">
        <f>N51</f>
        <v>15497.11</v>
      </c>
      <c r="O50" s="238"/>
      <c r="P50" s="237">
        <f>P51</f>
        <v>15497.11</v>
      </c>
      <c r="Q50" s="238"/>
      <c r="R50" s="111">
        <f>P50/J50*100</f>
        <v>50.537295326548119</v>
      </c>
      <c r="S50" s="111">
        <f>P50/N50*100</f>
        <v>100</v>
      </c>
      <c r="T50" s="2"/>
    </row>
    <row r="51" spans="1:20" x14ac:dyDescent="0.25">
      <c r="A51" s="130"/>
      <c r="B51" s="124"/>
      <c r="C51" s="125">
        <v>922</v>
      </c>
      <c r="D51" s="137"/>
      <c r="E51" s="4" t="s">
        <v>39</v>
      </c>
      <c r="F51" s="4"/>
      <c r="G51" s="4"/>
      <c r="H51" s="4"/>
      <c r="I51" s="12"/>
      <c r="J51" s="239">
        <f>J52</f>
        <v>30664.7</v>
      </c>
      <c r="K51" s="240"/>
      <c r="L51" s="239">
        <f>L52</f>
        <v>15497.11</v>
      </c>
      <c r="M51" s="240"/>
      <c r="N51" s="239">
        <f>N52</f>
        <v>15497.11</v>
      </c>
      <c r="O51" s="240"/>
      <c r="P51" s="239">
        <f>P52</f>
        <v>15497.11</v>
      </c>
      <c r="Q51" s="240"/>
      <c r="R51" s="109">
        <f t="shared" ref="R51:R52" si="38">P51/J51*100</f>
        <v>50.537295326548119</v>
      </c>
      <c r="S51" s="109">
        <f t="shared" ref="S51:S52" si="39">P51/N51*100</f>
        <v>100</v>
      </c>
      <c r="T51" s="2"/>
    </row>
    <row r="52" spans="1:20" ht="15.75" thickBot="1" x14ac:dyDescent="0.3">
      <c r="A52" s="147"/>
      <c r="B52" s="133"/>
      <c r="C52" s="134"/>
      <c r="D52" s="135">
        <v>9221</v>
      </c>
      <c r="E52" s="8" t="s">
        <v>38</v>
      </c>
      <c r="F52" s="8"/>
      <c r="G52" s="8"/>
      <c r="H52" s="8"/>
      <c r="I52" s="24"/>
      <c r="J52" s="275">
        <v>30664.7</v>
      </c>
      <c r="K52" s="276"/>
      <c r="L52" s="241">
        <v>15497.11</v>
      </c>
      <c r="M52" s="242"/>
      <c r="N52" s="241">
        <v>15497.11</v>
      </c>
      <c r="O52" s="242"/>
      <c r="P52" s="275">
        <v>15497.11</v>
      </c>
      <c r="Q52" s="276"/>
      <c r="R52" s="112">
        <f t="shared" si="38"/>
        <v>50.537295326548119</v>
      </c>
      <c r="S52" s="112">
        <f t="shared" si="39"/>
        <v>100</v>
      </c>
      <c r="T52" s="2"/>
    </row>
    <row r="53" spans="1:20" ht="15.75" thickBot="1" x14ac:dyDescent="0.3">
      <c r="A53" s="219" t="s">
        <v>157</v>
      </c>
      <c r="B53" s="220"/>
      <c r="C53" s="220"/>
      <c r="D53" s="220"/>
      <c r="E53" s="220"/>
      <c r="F53" s="220"/>
      <c r="G53" s="220"/>
      <c r="H53" s="220"/>
      <c r="I53" s="221"/>
      <c r="J53" s="226">
        <f>J49+J13</f>
        <v>2043382.9199999997</v>
      </c>
      <c r="K53" s="226"/>
      <c r="L53" s="226">
        <f>L49+L13</f>
        <v>2199997.86</v>
      </c>
      <c r="M53" s="226"/>
      <c r="N53" s="226">
        <f>N49+N13</f>
        <v>2243905.14</v>
      </c>
      <c r="O53" s="226"/>
      <c r="P53" s="226">
        <f>P49+P13</f>
        <v>2252996.9599999995</v>
      </c>
      <c r="Q53" s="226"/>
      <c r="R53" s="113">
        <f>P53/J53*100</f>
        <v>110.25818694814184</v>
      </c>
      <c r="S53" s="113">
        <f>P53/N53*100</f>
        <v>100.40517844707104</v>
      </c>
      <c r="T53" s="2"/>
    </row>
    <row r="54" spans="1:20" ht="15.75" thickBot="1" x14ac:dyDescent="0.3">
      <c r="A54" s="88"/>
      <c r="B54" s="88"/>
      <c r="K54" s="26"/>
      <c r="L54" s="26"/>
      <c r="M54" s="26"/>
      <c r="N54" s="26"/>
      <c r="O54" s="26"/>
      <c r="P54" s="26"/>
      <c r="Q54" s="26"/>
      <c r="R54" s="26"/>
      <c r="S54" s="38"/>
      <c r="T54" s="26"/>
    </row>
    <row r="55" spans="1:20" x14ac:dyDescent="0.25">
      <c r="A55" s="141">
        <v>3</v>
      </c>
      <c r="B55" s="138"/>
      <c r="C55" s="138"/>
      <c r="D55" s="142"/>
      <c r="E55" s="282" t="s">
        <v>42</v>
      </c>
      <c r="F55" s="282"/>
      <c r="G55" s="282"/>
      <c r="H55" s="282"/>
      <c r="I55" s="283"/>
      <c r="J55" s="243">
        <f>J56+J64+J96+J99</f>
        <v>1878054.0799999998</v>
      </c>
      <c r="K55" s="244"/>
      <c r="L55" s="243">
        <f t="shared" ref="L55" si="40">L56+L64+L96+L99</f>
        <v>2190997.86</v>
      </c>
      <c r="M55" s="244"/>
      <c r="N55" s="243">
        <f t="shared" ref="N55" si="41">N56+N64+N96+N99</f>
        <v>2234905.1399999997</v>
      </c>
      <c r="O55" s="244"/>
      <c r="P55" s="243">
        <f t="shared" ref="P55" si="42">P56+P64+P96+P99</f>
        <v>2196705.38</v>
      </c>
      <c r="Q55" s="244"/>
      <c r="R55" s="118">
        <f>(P55/J55)*100</f>
        <v>116.96709926478795</v>
      </c>
      <c r="S55" s="118">
        <f>P55/N55*100</f>
        <v>98.290765933806043</v>
      </c>
    </row>
    <row r="56" spans="1:20" x14ac:dyDescent="0.25">
      <c r="A56" s="130"/>
      <c r="B56" s="124">
        <v>31</v>
      </c>
      <c r="C56" s="125"/>
      <c r="D56" s="143"/>
      <c r="E56" s="5" t="s">
        <v>44</v>
      </c>
      <c r="F56" s="5"/>
      <c r="G56" s="5"/>
      <c r="H56" s="5"/>
      <c r="I56" s="17"/>
      <c r="J56" s="229">
        <f t="shared" ref="J56" si="43">J57+J59+J61</f>
        <v>1625682.3599999999</v>
      </c>
      <c r="K56" s="230"/>
      <c r="L56" s="229">
        <f t="shared" ref="L56" si="44">L57+L59+L61</f>
        <v>1990000</v>
      </c>
      <c r="M56" s="230"/>
      <c r="N56" s="229">
        <f>N57+N59+N61</f>
        <v>2022662.88</v>
      </c>
      <c r="O56" s="230"/>
      <c r="P56" s="229">
        <f t="shared" ref="P56" si="45">P57+P59+P61</f>
        <v>2001607.52</v>
      </c>
      <c r="Q56" s="230"/>
      <c r="R56" s="119">
        <f>P56/J56*100</f>
        <v>123.1241458509767</v>
      </c>
      <c r="S56" s="119">
        <f>P56/N56*100</f>
        <v>98.959027714989261</v>
      </c>
      <c r="T56" s="2"/>
    </row>
    <row r="57" spans="1:20" ht="15" customHeight="1" x14ac:dyDescent="0.25">
      <c r="A57" s="130"/>
      <c r="B57" s="124"/>
      <c r="C57" s="125">
        <v>311</v>
      </c>
      <c r="D57" s="143"/>
      <c r="E57" s="4" t="s">
        <v>45</v>
      </c>
      <c r="F57" s="4"/>
      <c r="G57" s="4"/>
      <c r="H57" s="4"/>
      <c r="I57" s="12"/>
      <c r="J57" s="224">
        <f t="shared" ref="J57" si="46">J58</f>
        <v>1341771.5900000001</v>
      </c>
      <c r="K57" s="225"/>
      <c r="L57" s="224">
        <f t="shared" ref="L57:N57" si="47">L58</f>
        <v>1650000</v>
      </c>
      <c r="M57" s="225"/>
      <c r="N57" s="224">
        <f t="shared" si="47"/>
        <v>1675758.26</v>
      </c>
      <c r="O57" s="225"/>
      <c r="P57" s="224">
        <f t="shared" ref="P57" si="48">P58</f>
        <v>1657428.36</v>
      </c>
      <c r="Q57" s="225"/>
      <c r="R57" s="120">
        <f>P57/J57*100</f>
        <v>123.52537289897457</v>
      </c>
      <c r="S57" s="120">
        <f t="shared" ref="S57:S63" si="49">P57/N57*100</f>
        <v>98.906172779360205</v>
      </c>
      <c r="T57" s="2"/>
    </row>
    <row r="58" spans="1:20" x14ac:dyDescent="0.25">
      <c r="A58" s="130"/>
      <c r="B58" s="124"/>
      <c r="C58" s="125"/>
      <c r="D58" s="143">
        <v>3111</v>
      </c>
      <c r="E58" s="7" t="s">
        <v>46</v>
      </c>
      <c r="F58" s="7"/>
      <c r="G58" s="4"/>
      <c r="H58" s="4"/>
      <c r="I58" s="12"/>
      <c r="J58" s="222">
        <v>1341771.5900000001</v>
      </c>
      <c r="K58" s="223"/>
      <c r="L58" s="222">
        <v>1650000</v>
      </c>
      <c r="M58" s="223"/>
      <c r="N58" s="222">
        <f>1650000+11907.15+13851.11</f>
        <v>1675758.26</v>
      </c>
      <c r="O58" s="223"/>
      <c r="P58" s="222">
        <v>1657428.36</v>
      </c>
      <c r="Q58" s="223"/>
      <c r="R58" s="120">
        <f t="shared" ref="R58:R87" si="50">P58/J58*100</f>
        <v>123.52537289897457</v>
      </c>
      <c r="S58" s="120">
        <f t="shared" si="49"/>
        <v>98.906172779360205</v>
      </c>
      <c r="T58" s="2"/>
    </row>
    <row r="59" spans="1:20" x14ac:dyDescent="0.25">
      <c r="A59" s="130"/>
      <c r="B59" s="124"/>
      <c r="C59" s="125">
        <v>312</v>
      </c>
      <c r="D59" s="143"/>
      <c r="E59" s="4" t="s">
        <v>47</v>
      </c>
      <c r="F59" s="4"/>
      <c r="G59" s="4"/>
      <c r="H59" s="4"/>
      <c r="I59" s="12"/>
      <c r="J59" s="224">
        <f t="shared" ref="J59" si="51">J60</f>
        <v>62361.88</v>
      </c>
      <c r="K59" s="225"/>
      <c r="L59" s="224">
        <f t="shared" ref="L59:N59" si="52">L60</f>
        <v>65000</v>
      </c>
      <c r="M59" s="225"/>
      <c r="N59" s="224">
        <f t="shared" si="52"/>
        <v>67900</v>
      </c>
      <c r="O59" s="225"/>
      <c r="P59" s="224">
        <f t="shared" ref="P59" si="53">P60</f>
        <v>70703.399999999994</v>
      </c>
      <c r="Q59" s="225"/>
      <c r="R59" s="120">
        <f t="shared" si="50"/>
        <v>113.37599187195768</v>
      </c>
      <c r="S59" s="120">
        <f t="shared" si="49"/>
        <v>104.12871870397642</v>
      </c>
      <c r="T59" s="2"/>
    </row>
    <row r="60" spans="1:20" x14ac:dyDescent="0.25">
      <c r="A60" s="130"/>
      <c r="B60" s="124"/>
      <c r="C60" s="125"/>
      <c r="D60" s="143">
        <v>3121</v>
      </c>
      <c r="E60" s="7" t="s">
        <v>47</v>
      </c>
      <c r="F60" s="7"/>
      <c r="G60" s="7"/>
      <c r="H60" s="4"/>
      <c r="I60" s="12"/>
      <c r="J60" s="222">
        <v>62361.88</v>
      </c>
      <c r="K60" s="223"/>
      <c r="L60" s="222">
        <v>65000</v>
      </c>
      <c r="M60" s="223"/>
      <c r="N60" s="222">
        <f>65000+1600+1300</f>
        <v>67900</v>
      </c>
      <c r="O60" s="223"/>
      <c r="P60" s="222">
        <v>70703.399999999994</v>
      </c>
      <c r="Q60" s="223"/>
      <c r="R60" s="120">
        <f t="shared" si="50"/>
        <v>113.37599187195768</v>
      </c>
      <c r="S60" s="120">
        <f t="shared" si="49"/>
        <v>104.12871870397642</v>
      </c>
      <c r="T60" s="2"/>
    </row>
    <row r="61" spans="1:20" x14ac:dyDescent="0.25">
      <c r="A61" s="130"/>
      <c r="B61" s="124"/>
      <c r="C61" s="125">
        <v>313</v>
      </c>
      <c r="D61" s="143"/>
      <c r="E61" s="4" t="s">
        <v>48</v>
      </c>
      <c r="F61" s="4"/>
      <c r="G61" s="4"/>
      <c r="H61" s="4"/>
      <c r="I61" s="12"/>
      <c r="J61" s="224">
        <f>J62+J63</f>
        <v>221548.88999999998</v>
      </c>
      <c r="K61" s="225"/>
      <c r="L61" s="224">
        <f t="shared" ref="L61" si="54">L62+L63</f>
        <v>275000</v>
      </c>
      <c r="M61" s="225"/>
      <c r="N61" s="224">
        <f>N62+N63</f>
        <v>279004.62</v>
      </c>
      <c r="O61" s="225"/>
      <c r="P61" s="224">
        <f>P62+P63</f>
        <v>273475.76</v>
      </c>
      <c r="Q61" s="225"/>
      <c r="R61" s="120">
        <f t="shared" si="50"/>
        <v>123.43810885263295</v>
      </c>
      <c r="S61" s="120">
        <f t="shared" si="49"/>
        <v>98.018362563315264</v>
      </c>
      <c r="T61" s="2"/>
    </row>
    <row r="62" spans="1:20" x14ac:dyDescent="0.25">
      <c r="A62" s="130"/>
      <c r="B62" s="124"/>
      <c r="C62" s="125"/>
      <c r="D62" s="143">
        <v>3132</v>
      </c>
      <c r="E62" s="7" t="s">
        <v>49</v>
      </c>
      <c r="F62" s="7"/>
      <c r="G62" s="7"/>
      <c r="H62" s="7"/>
      <c r="I62" s="14"/>
      <c r="J62" s="222">
        <v>221376.15</v>
      </c>
      <c r="K62" s="223"/>
      <c r="L62" s="222">
        <v>275000</v>
      </c>
      <c r="M62" s="288"/>
      <c r="N62" s="222">
        <f>275000+1964.71+2039.91</f>
        <v>279004.62</v>
      </c>
      <c r="O62" s="288"/>
      <c r="P62" s="222">
        <v>273475.76</v>
      </c>
      <c r="Q62" s="223"/>
      <c r="R62" s="120">
        <f t="shared" si="50"/>
        <v>123.53442771500002</v>
      </c>
      <c r="S62" s="120">
        <f t="shared" si="49"/>
        <v>98.018362563315264</v>
      </c>
      <c r="T62" s="2"/>
    </row>
    <row r="63" spans="1:20" x14ac:dyDescent="0.25">
      <c r="A63" s="130"/>
      <c r="B63" s="124"/>
      <c r="C63" s="125"/>
      <c r="D63" s="143">
        <v>3133</v>
      </c>
      <c r="E63" s="7" t="s">
        <v>158</v>
      </c>
      <c r="F63" s="7"/>
      <c r="G63" s="7"/>
      <c r="H63" s="7"/>
      <c r="I63" s="14"/>
      <c r="J63" s="222">
        <v>172.74</v>
      </c>
      <c r="K63" s="288"/>
      <c r="L63" s="222"/>
      <c r="M63" s="288"/>
      <c r="N63" s="222"/>
      <c r="O63" s="288"/>
      <c r="P63" s="222"/>
      <c r="Q63" s="288"/>
      <c r="R63" s="120">
        <f t="shared" ref="R63" si="55">P63/J63*100</f>
        <v>0</v>
      </c>
      <c r="S63" s="120" t="e">
        <f t="shared" si="49"/>
        <v>#DIV/0!</v>
      </c>
      <c r="T63" s="2"/>
    </row>
    <row r="64" spans="1:20" x14ac:dyDescent="0.25">
      <c r="A64" s="130"/>
      <c r="B64" s="124">
        <v>32</v>
      </c>
      <c r="C64" s="125"/>
      <c r="D64" s="143"/>
      <c r="E64" s="5" t="s">
        <v>50</v>
      </c>
      <c r="F64" s="5"/>
      <c r="G64" s="5"/>
      <c r="H64" s="5"/>
      <c r="I64" s="17"/>
      <c r="J64" s="229">
        <f t="shared" ref="J64" si="56">J65+J70+J77+J87</f>
        <v>246546.27</v>
      </c>
      <c r="K64" s="230"/>
      <c r="L64" s="229">
        <f t="shared" ref="L64:N64" si="57">L65+L70+L77+L87</f>
        <v>200997.86000000002</v>
      </c>
      <c r="M64" s="230"/>
      <c r="N64" s="229">
        <f t="shared" si="57"/>
        <v>210815.75999999998</v>
      </c>
      <c r="O64" s="230"/>
      <c r="P64" s="229">
        <f t="shared" ref="P64" si="58">P65+P70+P77+P87</f>
        <v>193671.36</v>
      </c>
      <c r="Q64" s="230"/>
      <c r="R64" s="119">
        <f>P64/J64*100</f>
        <v>78.553757880822943</v>
      </c>
      <c r="S64" s="119">
        <f>P64/N64*100</f>
        <v>91.867590923942316</v>
      </c>
      <c r="T64" s="2"/>
    </row>
    <row r="65" spans="1:20" x14ac:dyDescent="0.25">
      <c r="A65" s="130"/>
      <c r="B65" s="124"/>
      <c r="C65" s="125">
        <v>321</v>
      </c>
      <c r="D65" s="143"/>
      <c r="E65" s="4" t="s">
        <v>51</v>
      </c>
      <c r="F65" s="4"/>
      <c r="G65" s="4"/>
      <c r="H65" s="4"/>
      <c r="I65" s="12"/>
      <c r="J65" s="224">
        <f t="shared" ref="J65" si="59">J66+J67+J68+J69</f>
        <v>72714.37</v>
      </c>
      <c r="K65" s="225"/>
      <c r="L65" s="224">
        <f t="shared" ref="L65" si="60">L66+L67+L68+L69</f>
        <v>49587.15</v>
      </c>
      <c r="M65" s="225"/>
      <c r="N65" s="224">
        <f t="shared" ref="N65:P65" si="61">N66+N67+N68+N69</f>
        <v>57351.79</v>
      </c>
      <c r="O65" s="225"/>
      <c r="P65" s="224">
        <f t="shared" si="61"/>
        <v>55421.79</v>
      </c>
      <c r="Q65" s="225"/>
      <c r="R65" s="120">
        <f>P65/J65*100</f>
        <v>76.218483361679418</v>
      </c>
      <c r="S65" s="120">
        <f t="shared" ref="S65:S87" si="62">P65/N65*100</f>
        <v>96.634804249352982</v>
      </c>
      <c r="T65" s="2"/>
    </row>
    <row r="66" spans="1:20" x14ac:dyDescent="0.25">
      <c r="A66" s="130"/>
      <c r="B66" s="124"/>
      <c r="C66" s="125"/>
      <c r="D66" s="143">
        <v>3211</v>
      </c>
      <c r="E66" s="7" t="s">
        <v>52</v>
      </c>
      <c r="F66" s="7"/>
      <c r="G66" s="7"/>
      <c r="H66" s="7"/>
      <c r="I66" s="14"/>
      <c r="J66" s="222">
        <v>28353.03</v>
      </c>
      <c r="K66" s="223"/>
      <c r="L66" s="222">
        <f>10000+2000</f>
        <v>12000</v>
      </c>
      <c r="M66" s="223"/>
      <c r="N66" s="222">
        <f>15043.2+2000</f>
        <v>17043.2</v>
      </c>
      <c r="O66" s="223"/>
      <c r="P66" s="222">
        <v>15113.2</v>
      </c>
      <c r="Q66" s="223"/>
      <c r="R66" s="120">
        <f>P66/J66*100</f>
        <v>53.303650438771456</v>
      </c>
      <c r="S66" s="120">
        <f t="shared" si="62"/>
        <v>88.675835523845294</v>
      </c>
      <c r="T66" s="2"/>
    </row>
    <row r="67" spans="1:20" x14ac:dyDescent="0.25">
      <c r="A67" s="130"/>
      <c r="B67" s="124"/>
      <c r="C67" s="125"/>
      <c r="D67" s="143">
        <v>3212</v>
      </c>
      <c r="E67" s="7" t="s">
        <v>53</v>
      </c>
      <c r="F67" s="7"/>
      <c r="G67" s="7"/>
      <c r="H67" s="7"/>
      <c r="I67" s="14"/>
      <c r="J67" s="222">
        <v>36130.67</v>
      </c>
      <c r="K67" s="223"/>
      <c r="L67" s="222">
        <v>35000</v>
      </c>
      <c r="M67" s="223"/>
      <c r="N67" s="222">
        <f>35312.86+1065.79+422.09</f>
        <v>36800.74</v>
      </c>
      <c r="O67" s="223"/>
      <c r="P67" s="222">
        <v>36800.74</v>
      </c>
      <c r="Q67" s="223"/>
      <c r="R67" s="120">
        <f t="shared" si="50"/>
        <v>101.85457396721401</v>
      </c>
      <c r="S67" s="120">
        <f t="shared" si="62"/>
        <v>100</v>
      </c>
      <c r="T67" s="2"/>
    </row>
    <row r="68" spans="1:20" x14ac:dyDescent="0.25">
      <c r="A68" s="130"/>
      <c r="B68" s="124"/>
      <c r="C68" s="125"/>
      <c r="D68" s="143">
        <v>3213</v>
      </c>
      <c r="E68" s="7" t="s">
        <v>54</v>
      </c>
      <c r="F68" s="7"/>
      <c r="G68" s="7"/>
      <c r="H68" s="7"/>
      <c r="I68" s="14"/>
      <c r="J68" s="222">
        <v>6447.87</v>
      </c>
      <c r="K68" s="223"/>
      <c r="L68" s="222">
        <v>1787.15</v>
      </c>
      <c r="M68" s="223"/>
      <c r="N68" s="222">
        <f>2137.35</f>
        <v>2137.35</v>
      </c>
      <c r="O68" s="223"/>
      <c r="P68" s="222">
        <v>2137.35</v>
      </c>
      <c r="Q68" s="223"/>
      <c r="R68" s="120">
        <f t="shared" si="50"/>
        <v>33.14815590264692</v>
      </c>
      <c r="S68" s="120">
        <f t="shared" si="62"/>
        <v>100</v>
      </c>
      <c r="T68" s="2"/>
    </row>
    <row r="69" spans="1:20" x14ac:dyDescent="0.25">
      <c r="A69" s="130"/>
      <c r="B69" s="124"/>
      <c r="C69" s="125"/>
      <c r="D69" s="143">
        <v>3214</v>
      </c>
      <c r="E69" s="7" t="s">
        <v>84</v>
      </c>
      <c r="F69" s="7"/>
      <c r="G69" s="7"/>
      <c r="H69" s="7"/>
      <c r="I69" s="14"/>
      <c r="J69" s="222">
        <v>1782.8</v>
      </c>
      <c r="K69" s="223"/>
      <c r="L69" s="222">
        <v>800</v>
      </c>
      <c r="M69" s="223"/>
      <c r="N69" s="222">
        <f>1370.5</f>
        <v>1370.5</v>
      </c>
      <c r="O69" s="223"/>
      <c r="P69" s="222">
        <v>1370.5</v>
      </c>
      <c r="Q69" s="223"/>
      <c r="R69" s="120">
        <f t="shared" si="50"/>
        <v>76.873457482611627</v>
      </c>
      <c r="S69" s="120">
        <f t="shared" si="62"/>
        <v>100</v>
      </c>
      <c r="T69" s="2"/>
    </row>
    <row r="70" spans="1:20" x14ac:dyDescent="0.25">
      <c r="A70" s="130"/>
      <c r="B70" s="124"/>
      <c r="C70" s="125">
        <v>322</v>
      </c>
      <c r="D70" s="143"/>
      <c r="E70" s="4" t="s">
        <v>55</v>
      </c>
      <c r="F70" s="4"/>
      <c r="G70" s="4"/>
      <c r="H70" s="4"/>
      <c r="I70" s="12"/>
      <c r="J70" s="224">
        <f t="shared" ref="J70" si="63">J71+J72+J73+J74+J75+J76</f>
        <v>94934.359999999986</v>
      </c>
      <c r="K70" s="225"/>
      <c r="L70" s="224">
        <f t="shared" ref="L70:N70" si="64">L71+L72+L73+L74+L75+L76</f>
        <v>86690.510000000009</v>
      </c>
      <c r="M70" s="225"/>
      <c r="N70" s="224">
        <f t="shared" si="64"/>
        <v>81409.239999999991</v>
      </c>
      <c r="O70" s="225"/>
      <c r="P70" s="224">
        <f t="shared" ref="P70" si="65">P71+P72+P73+P74+P75+P76</f>
        <v>79884.3</v>
      </c>
      <c r="Q70" s="225"/>
      <c r="R70" s="120">
        <f t="shared" si="50"/>
        <v>84.146877905955236</v>
      </c>
      <c r="S70" s="120">
        <f t="shared" si="62"/>
        <v>98.12682196762924</v>
      </c>
      <c r="T70" s="2"/>
    </row>
    <row r="71" spans="1:20" x14ac:dyDescent="0.25">
      <c r="A71" s="130"/>
      <c r="B71" s="124"/>
      <c r="C71" s="125"/>
      <c r="D71" s="143">
        <v>3221</v>
      </c>
      <c r="E71" s="7" t="s">
        <v>56</v>
      </c>
      <c r="F71" s="7"/>
      <c r="G71" s="7"/>
      <c r="H71" s="7"/>
      <c r="I71" s="14"/>
      <c r="J71" s="222">
        <v>21791.16</v>
      </c>
      <c r="K71" s="223"/>
      <c r="L71" s="222">
        <f>7500+200</f>
        <v>7700</v>
      </c>
      <c r="M71" s="223"/>
      <c r="N71" s="222">
        <f>9254.78+2000+200+1200</f>
        <v>12654.78</v>
      </c>
      <c r="O71" s="223"/>
      <c r="P71" s="222">
        <v>12449.37</v>
      </c>
      <c r="Q71" s="223"/>
      <c r="R71" s="120">
        <f t="shared" si="50"/>
        <v>57.130368461339373</v>
      </c>
      <c r="S71" s="120">
        <f t="shared" si="62"/>
        <v>98.37681887792597</v>
      </c>
      <c r="T71" s="2"/>
    </row>
    <row r="72" spans="1:20" x14ac:dyDescent="0.25">
      <c r="A72" s="130"/>
      <c r="B72" s="124"/>
      <c r="C72" s="125"/>
      <c r="D72" s="143">
        <v>3222</v>
      </c>
      <c r="E72" s="7" t="s">
        <v>85</v>
      </c>
      <c r="F72" s="7"/>
      <c r="G72" s="7"/>
      <c r="H72" s="7"/>
      <c r="I72" s="14"/>
      <c r="J72" s="222">
        <v>19872.77</v>
      </c>
      <c r="K72" s="223"/>
      <c r="L72" s="222">
        <f>23500+500</f>
        <v>24000</v>
      </c>
      <c r="M72" s="223"/>
      <c r="N72" s="222">
        <f>33783.46+500</f>
        <v>34283.46</v>
      </c>
      <c r="O72" s="223"/>
      <c r="P72" s="222">
        <v>34208.46</v>
      </c>
      <c r="Q72" s="223"/>
      <c r="R72" s="120">
        <f t="shared" si="50"/>
        <v>172.13735176324184</v>
      </c>
      <c r="S72" s="120">
        <f t="shared" si="62"/>
        <v>99.781235616241773</v>
      </c>
      <c r="T72" s="2"/>
    </row>
    <row r="73" spans="1:20" x14ac:dyDescent="0.25">
      <c r="A73" s="130"/>
      <c r="B73" s="124"/>
      <c r="C73" s="125"/>
      <c r="D73" s="143">
        <v>3223</v>
      </c>
      <c r="E73" s="7" t="s">
        <v>57</v>
      </c>
      <c r="F73" s="7"/>
      <c r="G73" s="7"/>
      <c r="H73" s="7"/>
      <c r="I73" s="14"/>
      <c r="J73" s="222">
        <v>42847.5</v>
      </c>
      <c r="K73" s="223"/>
      <c r="L73" s="222">
        <v>46290.51</v>
      </c>
      <c r="M73" s="223"/>
      <c r="N73" s="222">
        <f>23145.91</f>
        <v>23145.91</v>
      </c>
      <c r="O73" s="223"/>
      <c r="P73" s="222">
        <v>23145.91</v>
      </c>
      <c r="Q73" s="223"/>
      <c r="R73" s="120">
        <f t="shared" si="50"/>
        <v>54.019277670809259</v>
      </c>
      <c r="S73" s="120">
        <f t="shared" si="62"/>
        <v>100</v>
      </c>
      <c r="T73" s="2"/>
    </row>
    <row r="74" spans="1:20" x14ac:dyDescent="0.25">
      <c r="A74" s="130"/>
      <c r="B74" s="124"/>
      <c r="C74" s="125"/>
      <c r="D74" s="143">
        <v>3224</v>
      </c>
      <c r="E74" s="7" t="s">
        <v>58</v>
      </c>
      <c r="F74" s="7"/>
      <c r="G74" s="7"/>
      <c r="H74" s="7"/>
      <c r="I74" s="14"/>
      <c r="J74" s="222">
        <v>7585.17</v>
      </c>
      <c r="K74" s="223"/>
      <c r="L74" s="222">
        <f>3800+3500</f>
        <v>7300</v>
      </c>
      <c r="M74" s="223"/>
      <c r="N74" s="222">
        <f>6295.81+3500</f>
        <v>9795.8100000000013</v>
      </c>
      <c r="O74" s="223"/>
      <c r="P74" s="222">
        <v>8851.2800000000007</v>
      </c>
      <c r="Q74" s="223"/>
      <c r="R74" s="120">
        <f t="shared" si="50"/>
        <v>116.6919132992405</v>
      </c>
      <c r="S74" s="120">
        <f t="shared" si="62"/>
        <v>90.357816250008923</v>
      </c>
      <c r="T74" s="2"/>
    </row>
    <row r="75" spans="1:20" x14ac:dyDescent="0.25">
      <c r="A75" s="130"/>
      <c r="B75" s="124"/>
      <c r="C75" s="125"/>
      <c r="D75" s="143">
        <v>3225</v>
      </c>
      <c r="E75" s="7" t="s">
        <v>59</v>
      </c>
      <c r="F75" s="7"/>
      <c r="G75" s="7"/>
      <c r="H75" s="7"/>
      <c r="I75" s="14"/>
      <c r="J75" s="222">
        <v>2307.5</v>
      </c>
      <c r="K75" s="223"/>
      <c r="L75" s="222">
        <f>500+300</f>
        <v>800</v>
      </c>
      <c r="M75" s="223"/>
      <c r="N75" s="222">
        <f>623.85+300</f>
        <v>923.85</v>
      </c>
      <c r="O75" s="223"/>
      <c r="P75" s="222">
        <v>623.85</v>
      </c>
      <c r="Q75" s="223"/>
      <c r="R75" s="120">
        <f t="shared" si="50"/>
        <v>27.035752979414951</v>
      </c>
      <c r="S75" s="120">
        <f t="shared" si="62"/>
        <v>67.527195973372301</v>
      </c>
      <c r="T75" s="2"/>
    </row>
    <row r="76" spans="1:20" x14ac:dyDescent="0.25">
      <c r="A76" s="130"/>
      <c r="B76" s="124"/>
      <c r="C76" s="125"/>
      <c r="D76" s="143">
        <v>3227</v>
      </c>
      <c r="E76" s="7" t="s">
        <v>60</v>
      </c>
      <c r="F76" s="7"/>
      <c r="G76" s="7"/>
      <c r="H76" s="7"/>
      <c r="I76" s="14"/>
      <c r="J76" s="222">
        <v>530.26</v>
      </c>
      <c r="K76" s="223"/>
      <c r="L76" s="222">
        <v>600</v>
      </c>
      <c r="M76" s="223"/>
      <c r="N76" s="222">
        <f>605.43</f>
        <v>605.42999999999995</v>
      </c>
      <c r="O76" s="223"/>
      <c r="P76" s="222">
        <v>605.42999999999995</v>
      </c>
      <c r="Q76" s="223"/>
      <c r="R76" s="120">
        <f t="shared" si="50"/>
        <v>114.17606457209671</v>
      </c>
      <c r="S76" s="120">
        <f t="shared" si="62"/>
        <v>100</v>
      </c>
      <c r="T76" s="2"/>
    </row>
    <row r="77" spans="1:20" x14ac:dyDescent="0.25">
      <c r="A77" s="130"/>
      <c r="B77" s="124"/>
      <c r="C77" s="125">
        <v>323</v>
      </c>
      <c r="D77" s="143"/>
      <c r="E77" s="4" t="s">
        <v>61</v>
      </c>
      <c r="F77" s="4"/>
      <c r="G77" s="4"/>
      <c r="H77" s="4"/>
      <c r="I77" s="12"/>
      <c r="J77" s="224">
        <f t="shared" ref="J77" si="66">J78+J79+J80+J81+J82+J83+J84+J85+J86</f>
        <v>63159.610000000008</v>
      </c>
      <c r="K77" s="225"/>
      <c r="L77" s="224">
        <f t="shared" ref="L77:N77" si="67">L78+L79+L80+L81+L82+L83+L84+L85+L86</f>
        <v>53327.44</v>
      </c>
      <c r="M77" s="225"/>
      <c r="N77" s="224">
        <f t="shared" si="67"/>
        <v>60709.799999999996</v>
      </c>
      <c r="O77" s="225"/>
      <c r="P77" s="224">
        <f t="shared" ref="P77" si="68">P78+P79+P80+P81+P82+P83+P84+P85+P86</f>
        <v>52423.249999999993</v>
      </c>
      <c r="Q77" s="225"/>
      <c r="R77" s="120">
        <f t="shared" si="50"/>
        <v>83.001224991731249</v>
      </c>
      <c r="S77" s="120">
        <f t="shared" si="62"/>
        <v>86.350556252861963</v>
      </c>
      <c r="T77" s="2"/>
    </row>
    <row r="78" spans="1:20" x14ac:dyDescent="0.25">
      <c r="A78" s="130"/>
      <c r="B78" s="124"/>
      <c r="C78" s="125"/>
      <c r="D78" s="143">
        <v>3231</v>
      </c>
      <c r="E78" s="7" t="s">
        <v>62</v>
      </c>
      <c r="F78" s="7"/>
      <c r="G78" s="7"/>
      <c r="H78" s="7"/>
      <c r="I78" s="14"/>
      <c r="J78" s="222">
        <v>35957.24</v>
      </c>
      <c r="K78" s="223"/>
      <c r="L78" s="222">
        <f>6000+2000+20000</f>
        <v>28000</v>
      </c>
      <c r="M78" s="223"/>
      <c r="N78" s="222">
        <f>7544.2+22000</f>
        <v>29544.2</v>
      </c>
      <c r="O78" s="223"/>
      <c r="P78" s="222">
        <v>23920.66</v>
      </c>
      <c r="Q78" s="223"/>
      <c r="R78" s="120">
        <f t="shared" si="50"/>
        <v>66.525295044892218</v>
      </c>
      <c r="S78" s="120">
        <f t="shared" si="62"/>
        <v>80.965671773139903</v>
      </c>
      <c r="T78" s="2"/>
    </row>
    <row r="79" spans="1:20" x14ac:dyDescent="0.25">
      <c r="A79" s="130"/>
      <c r="B79" s="124"/>
      <c r="C79" s="125"/>
      <c r="D79" s="143">
        <v>3232</v>
      </c>
      <c r="E79" s="7" t="s">
        <v>63</v>
      </c>
      <c r="F79" s="7"/>
      <c r="G79" s="7"/>
      <c r="H79" s="7"/>
      <c r="I79" s="14"/>
      <c r="J79" s="222">
        <v>1959.05</v>
      </c>
      <c r="K79" s="223"/>
      <c r="L79" s="222">
        <f>2000+1000</f>
        <v>3000</v>
      </c>
      <c r="M79" s="223"/>
      <c r="N79" s="222">
        <f>1930.03+1000</f>
        <v>2930.0299999999997</v>
      </c>
      <c r="O79" s="223"/>
      <c r="P79" s="222">
        <v>1930.03</v>
      </c>
      <c r="Q79" s="223"/>
      <c r="R79" s="120">
        <f t="shared" si="50"/>
        <v>98.518669763405725</v>
      </c>
      <c r="S79" s="120">
        <f t="shared" si="62"/>
        <v>65.870656614437394</v>
      </c>
      <c r="T79" s="2"/>
    </row>
    <row r="80" spans="1:20" x14ac:dyDescent="0.25">
      <c r="A80" s="130"/>
      <c r="B80" s="124"/>
      <c r="C80" s="125"/>
      <c r="D80" s="143">
        <v>3233</v>
      </c>
      <c r="E80" s="7" t="s">
        <v>87</v>
      </c>
      <c r="F80" s="7"/>
      <c r="G80" s="7"/>
      <c r="H80" s="7"/>
      <c r="I80" s="14"/>
      <c r="J80" s="222">
        <v>127.44</v>
      </c>
      <c r="K80" s="223"/>
      <c r="L80" s="222">
        <v>127.44</v>
      </c>
      <c r="M80" s="223"/>
      <c r="N80" s="222">
        <f>127.44</f>
        <v>127.44</v>
      </c>
      <c r="O80" s="223"/>
      <c r="P80" s="222">
        <v>127.44</v>
      </c>
      <c r="Q80" s="223"/>
      <c r="R80" s="120">
        <f t="shared" si="50"/>
        <v>100</v>
      </c>
      <c r="S80" s="120">
        <f t="shared" si="62"/>
        <v>100</v>
      </c>
      <c r="T80" s="2"/>
    </row>
    <row r="81" spans="1:21" x14ac:dyDescent="0.25">
      <c r="A81" s="130"/>
      <c r="B81" s="124"/>
      <c r="C81" s="125"/>
      <c r="D81" s="143">
        <v>3234</v>
      </c>
      <c r="E81" s="7" t="s">
        <v>86</v>
      </c>
      <c r="F81" s="7"/>
      <c r="G81" s="7"/>
      <c r="H81" s="7"/>
      <c r="I81" s="14"/>
      <c r="J81" s="222">
        <v>7375.66</v>
      </c>
      <c r="K81" s="223"/>
      <c r="L81" s="222">
        <f>6800+600</f>
        <v>7400</v>
      </c>
      <c r="M81" s="223"/>
      <c r="N81" s="222">
        <f>6474.39+600</f>
        <v>7074.39</v>
      </c>
      <c r="O81" s="223"/>
      <c r="P81" s="222">
        <v>6474.39</v>
      </c>
      <c r="Q81" s="223"/>
      <c r="R81" s="120">
        <f t="shared" si="50"/>
        <v>87.780483373691311</v>
      </c>
      <c r="S81" s="120">
        <f t="shared" si="62"/>
        <v>91.518703379372639</v>
      </c>
      <c r="T81" s="2"/>
    </row>
    <row r="82" spans="1:21" x14ac:dyDescent="0.25">
      <c r="A82" s="130"/>
      <c r="B82" s="124"/>
      <c r="C82" s="125"/>
      <c r="D82" s="143">
        <v>3235</v>
      </c>
      <c r="E82" s="7" t="s">
        <v>64</v>
      </c>
      <c r="F82" s="7"/>
      <c r="G82" s="7"/>
      <c r="H82" s="7"/>
      <c r="I82" s="14"/>
      <c r="J82" s="222">
        <v>1807.64</v>
      </c>
      <c r="K82" s="223"/>
      <c r="L82" s="222">
        <f>1800+200</f>
        <v>2000</v>
      </c>
      <c r="M82" s="223"/>
      <c r="N82" s="222">
        <f>2626.78+200</f>
        <v>2826.78</v>
      </c>
      <c r="O82" s="223"/>
      <c r="P82" s="222">
        <v>2626.78</v>
      </c>
      <c r="Q82" s="223"/>
      <c r="R82" s="120">
        <f t="shared" si="50"/>
        <v>145.31543891482818</v>
      </c>
      <c r="S82" s="120">
        <f t="shared" si="62"/>
        <v>92.924811976878289</v>
      </c>
      <c r="T82" s="2"/>
    </row>
    <row r="83" spans="1:21" x14ac:dyDescent="0.25">
      <c r="A83" s="130"/>
      <c r="B83" s="124"/>
      <c r="C83" s="125"/>
      <c r="D83" s="143">
        <v>3236</v>
      </c>
      <c r="E83" s="7" t="s">
        <v>65</v>
      </c>
      <c r="F83" s="7"/>
      <c r="G83" s="7"/>
      <c r="H83" s="7"/>
      <c r="I83" s="14"/>
      <c r="J83" s="222">
        <v>4065.06</v>
      </c>
      <c r="K83" s="223"/>
      <c r="L83" s="222">
        <v>4400</v>
      </c>
      <c r="M83" s="223"/>
      <c r="N83" s="222">
        <f>4038.22</f>
        <v>4038.22</v>
      </c>
      <c r="O83" s="223"/>
      <c r="P83" s="222">
        <v>4038.22</v>
      </c>
      <c r="Q83" s="223"/>
      <c r="R83" s="120">
        <f t="shared" si="50"/>
        <v>99.33973914284168</v>
      </c>
      <c r="S83" s="120">
        <f t="shared" si="62"/>
        <v>100</v>
      </c>
      <c r="T83" s="2"/>
    </row>
    <row r="84" spans="1:21" x14ac:dyDescent="0.25">
      <c r="A84" s="130"/>
      <c r="B84" s="124"/>
      <c r="C84" s="125"/>
      <c r="D84" s="143">
        <v>3237</v>
      </c>
      <c r="E84" s="7" t="s">
        <v>66</v>
      </c>
      <c r="F84" s="7"/>
      <c r="G84" s="7"/>
      <c r="H84" s="7"/>
      <c r="I84" s="14"/>
      <c r="J84" s="222">
        <v>4746.7700000000004</v>
      </c>
      <c r="K84" s="223"/>
      <c r="L84" s="222">
        <f>2000+500</f>
        <v>2500</v>
      </c>
      <c r="M84" s="223"/>
      <c r="N84" s="222">
        <f>2694.15+500+730.02+2000</f>
        <v>5924.17</v>
      </c>
      <c r="O84" s="223"/>
      <c r="P84" s="222">
        <v>5424.17</v>
      </c>
      <c r="Q84" s="223"/>
      <c r="R84" s="120">
        <f t="shared" si="50"/>
        <v>114.27075674616634</v>
      </c>
      <c r="S84" s="120">
        <f t="shared" si="62"/>
        <v>91.559999122239915</v>
      </c>
      <c r="T84" s="2"/>
    </row>
    <row r="85" spans="1:21" x14ac:dyDescent="0.25">
      <c r="A85" s="130"/>
      <c r="B85" s="124"/>
      <c r="C85" s="125"/>
      <c r="D85" s="143">
        <v>3238</v>
      </c>
      <c r="E85" s="7" t="s">
        <v>67</v>
      </c>
      <c r="F85" s="7"/>
      <c r="G85" s="7"/>
      <c r="H85" s="7"/>
      <c r="I85" s="14"/>
      <c r="J85" s="222">
        <v>5077.7700000000004</v>
      </c>
      <c r="K85" s="223"/>
      <c r="L85" s="222">
        <f>4000+200</f>
        <v>4200</v>
      </c>
      <c r="M85" s="223"/>
      <c r="N85" s="222">
        <f>4614.46+200</f>
        <v>4814.46</v>
      </c>
      <c r="O85" s="223"/>
      <c r="P85" s="222">
        <v>4614.46</v>
      </c>
      <c r="Q85" s="223"/>
      <c r="R85" s="120">
        <f t="shared" si="50"/>
        <v>90.875719065652831</v>
      </c>
      <c r="S85" s="120">
        <f t="shared" si="62"/>
        <v>95.845847717085604</v>
      </c>
      <c r="T85" s="2"/>
    </row>
    <row r="86" spans="1:21" x14ac:dyDescent="0.25">
      <c r="A86" s="130"/>
      <c r="B86" s="124"/>
      <c r="C86" s="125"/>
      <c r="D86" s="143">
        <v>3239</v>
      </c>
      <c r="E86" s="7" t="s">
        <v>68</v>
      </c>
      <c r="F86" s="7"/>
      <c r="G86" s="7"/>
      <c r="H86" s="7"/>
      <c r="I86" s="14"/>
      <c r="J86" s="222">
        <v>2042.98</v>
      </c>
      <c r="K86" s="223"/>
      <c r="L86" s="222">
        <f>1500+200</f>
        <v>1700</v>
      </c>
      <c r="M86" s="223"/>
      <c r="N86" s="222">
        <f>1430.11+1800+200</f>
        <v>3430.1099999999997</v>
      </c>
      <c r="O86" s="223"/>
      <c r="P86" s="222">
        <v>3267.1</v>
      </c>
      <c r="Q86" s="223"/>
      <c r="R86" s="120">
        <f t="shared" si="50"/>
        <v>159.91835456049495</v>
      </c>
      <c r="S86" s="120">
        <f t="shared" si="62"/>
        <v>95.247674272836733</v>
      </c>
      <c r="T86" s="2"/>
    </row>
    <row r="87" spans="1:21" x14ac:dyDescent="0.25">
      <c r="A87" s="130"/>
      <c r="B87" s="124"/>
      <c r="C87" s="125">
        <v>329</v>
      </c>
      <c r="D87" s="143"/>
      <c r="E87" s="4" t="s">
        <v>69</v>
      </c>
      <c r="F87" s="4"/>
      <c r="G87" s="4"/>
      <c r="H87" s="4"/>
      <c r="I87" s="12"/>
      <c r="J87" s="224">
        <f t="shared" ref="J87" si="69">J88+J90+J91+J92+J93+J94+J95</f>
        <v>15737.93</v>
      </c>
      <c r="K87" s="225"/>
      <c r="L87" s="224">
        <f>L88+L90+L91+L92+L93+L94+L95</f>
        <v>11392.76</v>
      </c>
      <c r="M87" s="225"/>
      <c r="N87" s="224">
        <f>N88+N90+N91+N92+N93+N94+N95</f>
        <v>11344.93</v>
      </c>
      <c r="O87" s="225"/>
      <c r="P87" s="224">
        <f t="shared" ref="P87" si="70">P88+P90+P91+P92+P93+P94+P95</f>
        <v>5942.0199999999995</v>
      </c>
      <c r="Q87" s="225"/>
      <c r="R87" s="120">
        <f t="shared" si="50"/>
        <v>37.756045426558636</v>
      </c>
      <c r="S87" s="120">
        <f t="shared" si="62"/>
        <v>52.375995268370978</v>
      </c>
      <c r="T87" s="2"/>
    </row>
    <row r="88" spans="1:21" x14ac:dyDescent="0.25">
      <c r="A88" s="132"/>
      <c r="B88" s="133"/>
      <c r="C88" s="134"/>
      <c r="D88" s="144">
        <v>3291</v>
      </c>
      <c r="E88" s="284" t="s">
        <v>70</v>
      </c>
      <c r="F88" s="284"/>
      <c r="G88" s="284"/>
      <c r="H88" s="284"/>
      <c r="I88" s="285"/>
      <c r="J88" s="231">
        <v>893.33</v>
      </c>
      <c r="K88" s="232"/>
      <c r="L88" s="231">
        <v>230</v>
      </c>
      <c r="M88" s="232"/>
      <c r="N88" s="231">
        <v>230</v>
      </c>
      <c r="O88" s="232"/>
      <c r="P88" s="231">
        <v>336.32</v>
      </c>
      <c r="Q88" s="232"/>
      <c r="R88" s="290">
        <f>P88/J88*100</f>
        <v>37.647901671274894</v>
      </c>
      <c r="S88" s="290">
        <f>P88/N88*100</f>
        <v>146.22608695652173</v>
      </c>
      <c r="T88" s="2"/>
    </row>
    <row r="89" spans="1:21" x14ac:dyDescent="0.25">
      <c r="A89" s="132"/>
      <c r="B89" s="133"/>
      <c r="C89" s="134"/>
      <c r="D89" s="144"/>
      <c r="E89" s="284"/>
      <c r="F89" s="284"/>
      <c r="G89" s="284"/>
      <c r="H89" s="284"/>
      <c r="I89" s="285"/>
      <c r="J89" s="233"/>
      <c r="K89" s="234"/>
      <c r="L89" s="233"/>
      <c r="M89" s="234"/>
      <c r="N89" s="233"/>
      <c r="O89" s="234"/>
      <c r="P89" s="233"/>
      <c r="Q89" s="234"/>
      <c r="R89" s="291"/>
      <c r="S89" s="291"/>
      <c r="T89" s="2"/>
    </row>
    <row r="90" spans="1:21" x14ac:dyDescent="0.25">
      <c r="A90" s="130"/>
      <c r="B90" s="124"/>
      <c r="C90" s="125"/>
      <c r="D90" s="143">
        <v>3292</v>
      </c>
      <c r="E90" s="7" t="s">
        <v>71</v>
      </c>
      <c r="F90" s="7"/>
      <c r="G90" s="7"/>
      <c r="H90" s="7"/>
      <c r="I90" s="14"/>
      <c r="J90" s="289">
        <v>298.3</v>
      </c>
      <c r="K90" s="289"/>
      <c r="L90" s="222">
        <v>300</v>
      </c>
      <c r="M90" s="223"/>
      <c r="N90" s="222">
        <f>133.08</f>
        <v>133.08000000000001</v>
      </c>
      <c r="O90" s="223"/>
      <c r="P90" s="289">
        <v>133.08000000000001</v>
      </c>
      <c r="Q90" s="289"/>
      <c r="R90" s="120">
        <f>P90/J90*100</f>
        <v>44.612805900100568</v>
      </c>
      <c r="S90" s="120">
        <f>P90/N90*100</f>
        <v>100</v>
      </c>
      <c r="T90" s="2"/>
    </row>
    <row r="91" spans="1:21" x14ac:dyDescent="0.25">
      <c r="A91" s="130"/>
      <c r="B91" s="124"/>
      <c r="C91" s="125"/>
      <c r="D91" s="143">
        <v>3293</v>
      </c>
      <c r="E91" s="7" t="s">
        <v>72</v>
      </c>
      <c r="F91" s="7"/>
      <c r="G91" s="7"/>
      <c r="H91" s="7"/>
      <c r="I91" s="14"/>
      <c r="J91" s="289">
        <v>350</v>
      </c>
      <c r="K91" s="289"/>
      <c r="L91" s="222">
        <v>300</v>
      </c>
      <c r="M91" s="223"/>
      <c r="N91" s="222">
        <v>436.94</v>
      </c>
      <c r="O91" s="223"/>
      <c r="P91" s="289">
        <v>436.94</v>
      </c>
      <c r="Q91" s="289"/>
      <c r="R91" s="120">
        <f t="shared" ref="R91:R98" si="71">P91/J91*100</f>
        <v>124.83999999999999</v>
      </c>
      <c r="S91" s="120">
        <f t="shared" ref="S91:S98" si="72">P91/N91*100</f>
        <v>100</v>
      </c>
      <c r="T91" s="2"/>
    </row>
    <row r="92" spans="1:21" x14ac:dyDescent="0.25">
      <c r="A92" s="130"/>
      <c r="B92" s="124"/>
      <c r="C92" s="125"/>
      <c r="D92" s="143">
        <v>3294</v>
      </c>
      <c r="E92" s="7" t="s">
        <v>88</v>
      </c>
      <c r="F92" s="7"/>
      <c r="G92" s="7"/>
      <c r="H92" s="7"/>
      <c r="I92" s="14"/>
      <c r="J92" s="289">
        <v>150</v>
      </c>
      <c r="K92" s="289"/>
      <c r="L92" s="222">
        <v>175</v>
      </c>
      <c r="M92" s="223"/>
      <c r="N92" s="222">
        <v>175</v>
      </c>
      <c r="O92" s="223"/>
      <c r="P92" s="289">
        <v>175</v>
      </c>
      <c r="Q92" s="289"/>
      <c r="R92" s="120">
        <f t="shared" si="71"/>
        <v>116.66666666666667</v>
      </c>
      <c r="S92" s="120">
        <f t="shared" si="72"/>
        <v>100</v>
      </c>
      <c r="T92" s="2"/>
    </row>
    <row r="93" spans="1:21" x14ac:dyDescent="0.25">
      <c r="A93" s="130"/>
      <c r="B93" s="124"/>
      <c r="C93" s="125"/>
      <c r="D93" s="143">
        <v>3295</v>
      </c>
      <c r="E93" s="7" t="s">
        <v>74</v>
      </c>
      <c r="F93" s="7"/>
      <c r="G93" s="7"/>
      <c r="H93" s="7"/>
      <c r="I93" s="14"/>
      <c r="J93" s="289">
        <v>1664.51</v>
      </c>
      <c r="K93" s="289"/>
      <c r="L93" s="222">
        <f>1700+500</f>
        <v>2200</v>
      </c>
      <c r="M93" s="223"/>
      <c r="N93" s="222">
        <f>1700+500</f>
        <v>2200</v>
      </c>
      <c r="O93" s="223"/>
      <c r="P93" s="289">
        <v>3064.82</v>
      </c>
      <c r="Q93" s="289"/>
      <c r="R93" s="120">
        <f t="shared" si="71"/>
        <v>184.12746093444918</v>
      </c>
      <c r="S93" s="120">
        <f t="shared" si="72"/>
        <v>139.31</v>
      </c>
      <c r="T93" s="2"/>
    </row>
    <row r="94" spans="1:21" x14ac:dyDescent="0.25">
      <c r="A94" s="130"/>
      <c r="B94" s="124"/>
      <c r="C94" s="125"/>
      <c r="D94" s="143">
        <v>3296</v>
      </c>
      <c r="E94" s="7" t="s">
        <v>75</v>
      </c>
      <c r="F94" s="7"/>
      <c r="G94" s="7"/>
      <c r="H94" s="7"/>
      <c r="I94" s="14"/>
      <c r="J94" s="289">
        <v>4030.99</v>
      </c>
      <c r="K94" s="289"/>
      <c r="L94" s="222"/>
      <c r="M94" s="223"/>
      <c r="N94" s="222"/>
      <c r="O94" s="223"/>
      <c r="P94" s="289"/>
      <c r="Q94" s="289"/>
      <c r="R94" s="120">
        <f t="shared" si="71"/>
        <v>0</v>
      </c>
      <c r="S94" s="120" t="e">
        <f t="shared" si="72"/>
        <v>#DIV/0!</v>
      </c>
      <c r="T94" s="2"/>
    </row>
    <row r="95" spans="1:21" x14ac:dyDescent="0.25">
      <c r="A95" s="130"/>
      <c r="B95" s="124"/>
      <c r="C95" s="125"/>
      <c r="D95" s="143">
        <v>3299</v>
      </c>
      <c r="E95" s="7" t="s">
        <v>69</v>
      </c>
      <c r="F95" s="7"/>
      <c r="G95" s="7"/>
      <c r="H95" s="7"/>
      <c r="I95" s="14"/>
      <c r="J95" s="289">
        <v>8350.7999999999993</v>
      </c>
      <c r="K95" s="289"/>
      <c r="L95" s="222">
        <f>1684.65+997.11+5506</f>
        <v>8187.76</v>
      </c>
      <c r="M95" s="223"/>
      <c r="N95" s="222">
        <f>1066.8+600+997.11+5506</f>
        <v>8169.91</v>
      </c>
      <c r="O95" s="223"/>
      <c r="P95" s="289">
        <v>1795.86</v>
      </c>
      <c r="Q95" s="289"/>
      <c r="R95" s="120">
        <f t="shared" si="71"/>
        <v>21.505245006466449</v>
      </c>
      <c r="S95" s="120">
        <f t="shared" si="72"/>
        <v>21.98139269588037</v>
      </c>
      <c r="T95" s="2"/>
      <c r="U95" s="26"/>
    </row>
    <row r="96" spans="1:21" x14ac:dyDescent="0.25">
      <c r="A96" s="130"/>
      <c r="B96" s="124">
        <v>34</v>
      </c>
      <c r="C96" s="125"/>
      <c r="D96" s="143"/>
      <c r="E96" s="5" t="s">
        <v>76</v>
      </c>
      <c r="F96" s="5"/>
      <c r="G96" s="5"/>
      <c r="H96" s="5"/>
      <c r="I96" s="17"/>
      <c r="J96" s="229">
        <f t="shared" ref="J96:J99" si="73">J97</f>
        <v>4398.25</v>
      </c>
      <c r="K96" s="230"/>
      <c r="L96" s="229">
        <f t="shared" ref="L96:N100" si="74">L97</f>
        <v>0</v>
      </c>
      <c r="M96" s="230"/>
      <c r="N96" s="229">
        <f t="shared" si="74"/>
        <v>0</v>
      </c>
      <c r="O96" s="230"/>
      <c r="P96" s="229">
        <f t="shared" ref="P96:P100" si="75">P97</f>
        <v>0</v>
      </c>
      <c r="Q96" s="230"/>
      <c r="R96" s="119">
        <f t="shared" si="71"/>
        <v>0</v>
      </c>
      <c r="S96" s="119" t="e">
        <f t="shared" si="72"/>
        <v>#DIV/0!</v>
      </c>
      <c r="T96" s="2"/>
    </row>
    <row r="97" spans="1:20" x14ac:dyDescent="0.25">
      <c r="A97" s="130"/>
      <c r="B97" s="124"/>
      <c r="C97" s="125">
        <v>343</v>
      </c>
      <c r="D97" s="143"/>
      <c r="E97" s="4" t="s">
        <v>89</v>
      </c>
      <c r="F97" s="4"/>
      <c r="G97" s="4"/>
      <c r="H97" s="4"/>
      <c r="I97" s="12"/>
      <c r="J97" s="224">
        <f t="shared" si="73"/>
        <v>4398.25</v>
      </c>
      <c r="K97" s="225"/>
      <c r="L97" s="224">
        <f t="shared" si="74"/>
        <v>0</v>
      </c>
      <c r="M97" s="225"/>
      <c r="N97" s="224">
        <f t="shared" si="74"/>
        <v>0</v>
      </c>
      <c r="O97" s="225"/>
      <c r="P97" s="224">
        <f t="shared" si="75"/>
        <v>0</v>
      </c>
      <c r="Q97" s="225"/>
      <c r="R97" s="120">
        <f t="shared" si="71"/>
        <v>0</v>
      </c>
      <c r="S97" s="120" t="e">
        <f t="shared" si="72"/>
        <v>#DIV/0!</v>
      </c>
      <c r="T97" s="2"/>
    </row>
    <row r="98" spans="1:20" x14ac:dyDescent="0.25">
      <c r="A98" s="130"/>
      <c r="B98" s="124"/>
      <c r="C98" s="125"/>
      <c r="D98" s="143">
        <v>3433</v>
      </c>
      <c r="E98" s="8" t="s">
        <v>77</v>
      </c>
      <c r="F98" s="8"/>
      <c r="G98" s="8"/>
      <c r="H98" s="8"/>
      <c r="I98" s="24"/>
      <c r="J98" s="231">
        <v>4398.25</v>
      </c>
      <c r="K98" s="296"/>
      <c r="L98" s="231"/>
      <c r="M98" s="296"/>
      <c r="N98" s="231"/>
      <c r="O98" s="296"/>
      <c r="P98" s="231"/>
      <c r="Q98" s="296"/>
      <c r="R98" s="120">
        <f t="shared" si="71"/>
        <v>0</v>
      </c>
      <c r="S98" s="120" t="e">
        <f t="shared" si="72"/>
        <v>#DIV/0!</v>
      </c>
      <c r="T98" s="2"/>
    </row>
    <row r="99" spans="1:20" x14ac:dyDescent="0.25">
      <c r="A99" s="130"/>
      <c r="B99" s="124">
        <v>38</v>
      </c>
      <c r="C99" s="125"/>
      <c r="D99" s="143"/>
      <c r="E99" s="5" t="s">
        <v>141</v>
      </c>
      <c r="F99" s="5"/>
      <c r="G99" s="5"/>
      <c r="H99" s="5"/>
      <c r="I99" s="17"/>
      <c r="J99" s="229">
        <f t="shared" si="73"/>
        <v>1427.2</v>
      </c>
      <c r="K99" s="230"/>
      <c r="L99" s="229">
        <f t="shared" si="74"/>
        <v>0</v>
      </c>
      <c r="M99" s="230"/>
      <c r="N99" s="229">
        <f t="shared" si="74"/>
        <v>1426.5</v>
      </c>
      <c r="O99" s="230"/>
      <c r="P99" s="229">
        <f t="shared" si="75"/>
        <v>1426.5</v>
      </c>
      <c r="Q99" s="230"/>
      <c r="R99" s="120">
        <f t="shared" ref="R99:R100" si="76">P99/J99*100</f>
        <v>99.950952914798208</v>
      </c>
      <c r="S99" s="120">
        <f t="shared" ref="S99:S100" si="77">P99/N99*100</f>
        <v>100</v>
      </c>
      <c r="T99" s="2"/>
    </row>
    <row r="100" spans="1:20" x14ac:dyDescent="0.25">
      <c r="A100" s="130"/>
      <c r="B100" s="124"/>
      <c r="C100" s="125">
        <v>381</v>
      </c>
      <c r="D100" s="143"/>
      <c r="E100" s="4" t="s">
        <v>28</v>
      </c>
      <c r="F100" s="4"/>
      <c r="G100" s="4"/>
      <c r="H100" s="4"/>
      <c r="I100" s="12"/>
      <c r="J100" s="224">
        <f>J101</f>
        <v>1427.2</v>
      </c>
      <c r="K100" s="225"/>
      <c r="L100" s="224">
        <f t="shared" si="74"/>
        <v>0</v>
      </c>
      <c r="M100" s="225"/>
      <c r="N100" s="224">
        <f t="shared" si="74"/>
        <v>1426.5</v>
      </c>
      <c r="O100" s="225"/>
      <c r="P100" s="224">
        <f t="shared" si="75"/>
        <v>1426.5</v>
      </c>
      <c r="Q100" s="225"/>
      <c r="R100" s="120">
        <f t="shared" si="76"/>
        <v>99.950952914798208</v>
      </c>
      <c r="S100" s="120">
        <f t="shared" si="77"/>
        <v>100</v>
      </c>
      <c r="T100" s="2"/>
    </row>
    <row r="101" spans="1:20" x14ac:dyDescent="0.25">
      <c r="A101" s="130"/>
      <c r="B101" s="124"/>
      <c r="C101" s="125"/>
      <c r="D101" s="143">
        <v>3812</v>
      </c>
      <c r="E101" s="8" t="s">
        <v>178</v>
      </c>
      <c r="F101" s="8"/>
      <c r="G101" s="8"/>
      <c r="H101" s="8"/>
      <c r="I101" s="24"/>
      <c r="J101" s="231">
        <v>1427.2</v>
      </c>
      <c r="K101" s="296"/>
      <c r="L101" s="231"/>
      <c r="M101" s="296"/>
      <c r="N101" s="231">
        <v>1426.5</v>
      </c>
      <c r="O101" s="296"/>
      <c r="P101" s="231">
        <v>1426.5</v>
      </c>
      <c r="Q101" s="296"/>
      <c r="R101" s="120">
        <f t="shared" ref="R101" si="78">P101/J101*100</f>
        <v>99.950952914798208</v>
      </c>
      <c r="S101" s="120">
        <f t="shared" ref="S101" si="79">P101/N101*100</f>
        <v>100</v>
      </c>
      <c r="T101" s="2"/>
    </row>
    <row r="102" spans="1:20" x14ac:dyDescent="0.25">
      <c r="A102" s="145">
        <v>4</v>
      </c>
      <c r="B102" s="139"/>
      <c r="C102" s="139"/>
      <c r="D102" s="146"/>
      <c r="E102" s="286" t="s">
        <v>83</v>
      </c>
      <c r="F102" s="286"/>
      <c r="G102" s="286"/>
      <c r="H102" s="286"/>
      <c r="I102" s="287"/>
      <c r="J102" s="227">
        <f>J103+J109</f>
        <v>149831.72999999998</v>
      </c>
      <c r="K102" s="228"/>
      <c r="L102" s="227">
        <f t="shared" ref="L102" si="80">L103+L109</f>
        <v>9000</v>
      </c>
      <c r="M102" s="228"/>
      <c r="N102" s="227">
        <f t="shared" ref="N102" si="81">N103+N109</f>
        <v>9000</v>
      </c>
      <c r="O102" s="228"/>
      <c r="P102" s="227">
        <f t="shared" ref="P102" si="82">P103+P109</f>
        <v>7615.27</v>
      </c>
      <c r="Q102" s="228"/>
      <c r="R102" s="110">
        <f>P102/J102*100</f>
        <v>5.0825482693151853</v>
      </c>
      <c r="S102" s="110">
        <f>P102/N102*100</f>
        <v>84.614111111111114</v>
      </c>
      <c r="T102" s="2"/>
    </row>
    <row r="103" spans="1:20" x14ac:dyDescent="0.25">
      <c r="A103" s="130"/>
      <c r="B103" s="124">
        <v>42</v>
      </c>
      <c r="C103" s="125"/>
      <c r="D103" s="143"/>
      <c r="E103" s="5" t="s">
        <v>78</v>
      </c>
      <c r="F103" s="5"/>
      <c r="G103" s="5"/>
      <c r="H103" s="5"/>
      <c r="I103" s="17"/>
      <c r="J103" s="229">
        <f>J104+J107</f>
        <v>3928.02</v>
      </c>
      <c r="K103" s="230"/>
      <c r="L103" s="229">
        <f>L104+L107</f>
        <v>9000</v>
      </c>
      <c r="M103" s="230"/>
      <c r="N103" s="229">
        <f>N104+N107</f>
        <v>9000</v>
      </c>
      <c r="O103" s="230"/>
      <c r="P103" s="229">
        <f>P104+P107</f>
        <v>7615.27</v>
      </c>
      <c r="Q103" s="230"/>
      <c r="R103" s="119">
        <f t="shared" ref="R103:R108" si="83">P103/J103*100</f>
        <v>193.87044872480283</v>
      </c>
      <c r="S103" s="119">
        <f t="shared" ref="S103:S108" si="84">P103/N103*100</f>
        <v>84.614111111111114</v>
      </c>
      <c r="T103" s="2"/>
    </row>
    <row r="104" spans="1:20" x14ac:dyDescent="0.25">
      <c r="A104" s="130"/>
      <c r="B104" s="124"/>
      <c r="C104" s="125">
        <v>422</v>
      </c>
      <c r="D104" s="143"/>
      <c r="E104" s="4" t="s">
        <v>79</v>
      </c>
      <c r="F104" s="4"/>
      <c r="G104" s="4"/>
      <c r="H104" s="4"/>
      <c r="I104" s="12"/>
      <c r="J104" s="224">
        <f>J105+J106</f>
        <v>3132.34</v>
      </c>
      <c r="K104" s="225"/>
      <c r="L104" s="224">
        <f t="shared" ref="L104" si="85">L105+L106</f>
        <v>7000</v>
      </c>
      <c r="M104" s="225"/>
      <c r="N104" s="224">
        <f t="shared" ref="N104" si="86">N105+N106</f>
        <v>7000</v>
      </c>
      <c r="O104" s="225"/>
      <c r="P104" s="224">
        <f t="shared" ref="P104" si="87">P105+P106</f>
        <v>6820.46</v>
      </c>
      <c r="Q104" s="225"/>
      <c r="R104" s="120">
        <f t="shared" si="83"/>
        <v>217.74328457319444</v>
      </c>
      <c r="S104" s="120">
        <f t="shared" si="84"/>
        <v>97.43514285714285</v>
      </c>
      <c r="T104" s="2"/>
    </row>
    <row r="105" spans="1:20" x14ac:dyDescent="0.25">
      <c r="A105" s="130"/>
      <c r="B105" s="124"/>
      <c r="C105" s="125"/>
      <c r="D105" s="143">
        <v>4221</v>
      </c>
      <c r="E105" s="7" t="s">
        <v>90</v>
      </c>
      <c r="F105" s="7"/>
      <c r="G105" s="7"/>
      <c r="H105" s="7"/>
      <c r="I105" s="14"/>
      <c r="J105" s="222">
        <v>3132.34</v>
      </c>
      <c r="K105" s="223"/>
      <c r="L105" s="222">
        <v>3000</v>
      </c>
      <c r="M105" s="223"/>
      <c r="N105" s="222">
        <v>3000</v>
      </c>
      <c r="O105" s="223"/>
      <c r="P105" s="222">
        <v>5327.33</v>
      </c>
      <c r="Q105" s="223"/>
      <c r="R105" s="120">
        <f t="shared" si="83"/>
        <v>170.07508763416484</v>
      </c>
      <c r="S105" s="120">
        <f t="shared" si="84"/>
        <v>177.57766666666666</v>
      </c>
      <c r="T105" s="2"/>
    </row>
    <row r="106" spans="1:20" x14ac:dyDescent="0.25">
      <c r="A106" s="130"/>
      <c r="B106" s="124"/>
      <c r="C106" s="125"/>
      <c r="D106" s="143">
        <v>4227</v>
      </c>
      <c r="E106" s="7" t="s">
        <v>80</v>
      </c>
      <c r="F106" s="7"/>
      <c r="G106" s="7"/>
      <c r="H106" s="7"/>
      <c r="I106" s="14"/>
      <c r="J106" s="222"/>
      <c r="K106" s="223"/>
      <c r="L106" s="222">
        <v>4000</v>
      </c>
      <c r="M106" s="223"/>
      <c r="N106" s="222">
        <v>4000</v>
      </c>
      <c r="O106" s="223"/>
      <c r="P106" s="222">
        <v>1493.13</v>
      </c>
      <c r="Q106" s="223"/>
      <c r="R106" s="120" t="e">
        <f t="shared" si="83"/>
        <v>#DIV/0!</v>
      </c>
      <c r="S106" s="120">
        <f t="shared" si="84"/>
        <v>37.328250000000004</v>
      </c>
      <c r="T106" s="2"/>
    </row>
    <row r="107" spans="1:20" x14ac:dyDescent="0.25">
      <c r="A107" s="130"/>
      <c r="B107" s="124"/>
      <c r="C107" s="125">
        <v>424</v>
      </c>
      <c r="D107" s="143"/>
      <c r="E107" s="4" t="s">
        <v>81</v>
      </c>
      <c r="F107" s="4"/>
      <c r="G107" s="4"/>
      <c r="H107" s="4"/>
      <c r="I107" s="12"/>
      <c r="J107" s="224">
        <f t="shared" ref="J107" si="88">J108</f>
        <v>795.68</v>
      </c>
      <c r="K107" s="225"/>
      <c r="L107" s="224">
        <f t="shared" ref="L107:N107" si="89">L108</f>
        <v>2000</v>
      </c>
      <c r="M107" s="225"/>
      <c r="N107" s="224">
        <f t="shared" si="89"/>
        <v>2000</v>
      </c>
      <c r="O107" s="225"/>
      <c r="P107" s="224">
        <f t="shared" ref="P107" si="90">P108</f>
        <v>794.81</v>
      </c>
      <c r="Q107" s="225"/>
      <c r="R107" s="120">
        <f t="shared" si="83"/>
        <v>99.890659561632816</v>
      </c>
      <c r="S107" s="120">
        <f t="shared" si="84"/>
        <v>39.740499999999997</v>
      </c>
      <c r="T107" s="2"/>
    </row>
    <row r="108" spans="1:20" x14ac:dyDescent="0.25">
      <c r="A108" s="130"/>
      <c r="B108" s="124"/>
      <c r="C108" s="125"/>
      <c r="D108" s="143">
        <v>4241</v>
      </c>
      <c r="E108" s="7" t="s">
        <v>82</v>
      </c>
      <c r="F108" s="7"/>
      <c r="G108" s="7"/>
      <c r="H108" s="7"/>
      <c r="I108" s="14"/>
      <c r="J108" s="222">
        <v>795.68</v>
      </c>
      <c r="K108" s="223"/>
      <c r="L108" s="222">
        <v>2000</v>
      </c>
      <c r="M108" s="223"/>
      <c r="N108" s="222">
        <v>2000</v>
      </c>
      <c r="O108" s="223"/>
      <c r="P108" s="222">
        <v>794.81</v>
      </c>
      <c r="Q108" s="223"/>
      <c r="R108" s="120">
        <f t="shared" si="83"/>
        <v>99.890659561632816</v>
      </c>
      <c r="S108" s="120">
        <f t="shared" si="84"/>
        <v>39.740499999999997</v>
      </c>
      <c r="T108" s="2"/>
    </row>
    <row r="109" spans="1:20" x14ac:dyDescent="0.25">
      <c r="A109" s="130"/>
      <c r="B109" s="124">
        <v>45</v>
      </c>
      <c r="C109" s="125"/>
      <c r="D109" s="143"/>
      <c r="E109" s="5" t="s">
        <v>159</v>
      </c>
      <c r="F109" s="5"/>
      <c r="G109" s="5"/>
      <c r="H109" s="5"/>
      <c r="I109" s="17"/>
      <c r="J109" s="229">
        <f>J110+K116</f>
        <v>145903.71</v>
      </c>
      <c r="K109" s="230"/>
      <c r="L109" s="229">
        <f>L110+M116</f>
        <v>0</v>
      </c>
      <c r="M109" s="230"/>
      <c r="N109" s="229">
        <f>N110+O116</f>
        <v>0</v>
      </c>
      <c r="O109" s="230"/>
      <c r="P109" s="229">
        <f>P110+Q116</f>
        <v>0</v>
      </c>
      <c r="Q109" s="230"/>
      <c r="R109" s="119">
        <f t="shared" ref="R109:R111" si="91">P109/J109*100</f>
        <v>0</v>
      </c>
      <c r="S109" s="119" t="e">
        <f t="shared" ref="S109:S111" si="92">P109/N109*100</f>
        <v>#DIV/0!</v>
      </c>
      <c r="T109" s="2"/>
    </row>
    <row r="110" spans="1:20" x14ac:dyDescent="0.25">
      <c r="A110" s="130"/>
      <c r="B110" s="124"/>
      <c r="C110" s="125">
        <v>451</v>
      </c>
      <c r="D110" s="143"/>
      <c r="E110" s="4" t="s">
        <v>160</v>
      </c>
      <c r="F110" s="4"/>
      <c r="G110" s="4"/>
      <c r="H110" s="4"/>
      <c r="I110" s="12"/>
      <c r="J110" s="224">
        <f t="shared" ref="J110" si="93">J111</f>
        <v>145903.71</v>
      </c>
      <c r="K110" s="225"/>
      <c r="L110" s="224">
        <f t="shared" ref="L110" si="94">L111</f>
        <v>0</v>
      </c>
      <c r="M110" s="225"/>
      <c r="N110" s="224">
        <f t="shared" ref="N110" si="95">N111</f>
        <v>0</v>
      </c>
      <c r="O110" s="225"/>
      <c r="P110" s="224">
        <f t="shared" ref="P110" si="96">P111</f>
        <v>0</v>
      </c>
      <c r="Q110" s="225"/>
      <c r="R110" s="120">
        <f t="shared" si="91"/>
        <v>0</v>
      </c>
      <c r="S110" s="120" t="e">
        <f t="shared" si="92"/>
        <v>#DIV/0!</v>
      </c>
      <c r="T110" s="2"/>
    </row>
    <row r="111" spans="1:20" ht="15.75" thickBot="1" x14ac:dyDescent="0.3">
      <c r="A111" s="147"/>
      <c r="B111" s="148"/>
      <c r="C111" s="149"/>
      <c r="D111" s="150">
        <v>4511</v>
      </c>
      <c r="E111" s="8" t="s">
        <v>160</v>
      </c>
      <c r="F111" s="8"/>
      <c r="G111" s="8"/>
      <c r="H111" s="8"/>
      <c r="I111" s="24"/>
      <c r="J111" s="222">
        <v>145903.71</v>
      </c>
      <c r="K111" s="223"/>
      <c r="L111" s="222"/>
      <c r="M111" s="223"/>
      <c r="N111" s="222"/>
      <c r="O111" s="223"/>
      <c r="P111" s="222"/>
      <c r="Q111" s="223"/>
      <c r="R111" s="120">
        <f t="shared" si="91"/>
        <v>0</v>
      </c>
      <c r="S111" s="120" t="e">
        <f t="shared" si="92"/>
        <v>#DIV/0!</v>
      </c>
      <c r="T111" s="2"/>
    </row>
    <row r="112" spans="1:20" ht="15.75" thickBot="1" x14ac:dyDescent="0.3">
      <c r="A112" s="208" t="s">
        <v>43</v>
      </c>
      <c r="B112" s="209"/>
      <c r="C112" s="209"/>
      <c r="D112" s="209"/>
      <c r="E112" s="209"/>
      <c r="F112" s="209"/>
      <c r="G112" s="209"/>
      <c r="H112" s="209"/>
      <c r="I112" s="210"/>
      <c r="J112" s="226">
        <f>J55+J102</f>
        <v>2027885.8099999998</v>
      </c>
      <c r="K112" s="226"/>
      <c r="L112" s="226">
        <f>L55+L102</f>
        <v>2199997.86</v>
      </c>
      <c r="M112" s="226"/>
      <c r="N112" s="226">
        <f>N55+N102</f>
        <v>2243905.1399999997</v>
      </c>
      <c r="O112" s="226"/>
      <c r="P112" s="226">
        <f>P55+P102</f>
        <v>2204320.65</v>
      </c>
      <c r="Q112" s="226"/>
      <c r="R112" s="113">
        <f t="shared" ref="R112" si="97">P112/J112*100</f>
        <v>108.7004326934957</v>
      </c>
      <c r="S112" s="113">
        <f>P112/N112*100</f>
        <v>98.235910721252694</v>
      </c>
      <c r="T112" s="2"/>
    </row>
    <row r="113" spans="5:23" x14ac:dyDescent="0.25"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5:23" x14ac:dyDescent="0.25">
      <c r="U114" s="2"/>
    </row>
    <row r="115" spans="5:23" x14ac:dyDescent="0.25">
      <c r="O115" s="26"/>
      <c r="U115" s="2"/>
      <c r="W115" s="26"/>
    </row>
    <row r="117" spans="5:23" x14ac:dyDescent="0.25">
      <c r="W117" s="26"/>
    </row>
  </sheetData>
  <customSheetViews>
    <customSheetView guid="{005C429F-8448-44DF-83AD-8A930973E873}">
      <selection activeCell="G12" sqref="G12:L12"/>
      <rowBreaks count="1" manualBreakCount="1">
        <brk id="57" max="16383" man="1"/>
      </rowBreaks>
      <pageMargins left="0.7" right="0.7" top="0.75" bottom="0.75" header="0.3" footer="0.3"/>
      <pageSetup paperSize="9" scale="71" orientation="portrait" r:id="rId1"/>
    </customSheetView>
  </customSheetViews>
  <mergeCells count="400">
    <mergeCell ref="A5:S5"/>
    <mergeCell ref="A6:S6"/>
    <mergeCell ref="A7:S7"/>
    <mergeCell ref="J109:K109"/>
    <mergeCell ref="L109:M109"/>
    <mergeCell ref="N109:O109"/>
    <mergeCell ref="P109:Q109"/>
    <mergeCell ref="J110:K110"/>
    <mergeCell ref="L110:M110"/>
    <mergeCell ref="N110:O110"/>
    <mergeCell ref="P110:Q110"/>
    <mergeCell ref="N32:O32"/>
    <mergeCell ref="P32:Q32"/>
    <mergeCell ref="L99:M99"/>
    <mergeCell ref="L100:M100"/>
    <mergeCell ref="J99:K99"/>
    <mergeCell ref="N99:O99"/>
    <mergeCell ref="P99:Q99"/>
    <mergeCell ref="N56:O56"/>
    <mergeCell ref="P56:Q56"/>
    <mergeCell ref="J69:K69"/>
    <mergeCell ref="N69:O69"/>
    <mergeCell ref="P69:Q69"/>
    <mergeCell ref="J80:K80"/>
    <mergeCell ref="J111:K111"/>
    <mergeCell ref="L111:M111"/>
    <mergeCell ref="N111:O111"/>
    <mergeCell ref="P111:Q111"/>
    <mergeCell ref="J100:K100"/>
    <mergeCell ref="N100:O100"/>
    <mergeCell ref="P100:Q100"/>
    <mergeCell ref="J105:K105"/>
    <mergeCell ref="N105:O105"/>
    <mergeCell ref="P105:Q105"/>
    <mergeCell ref="J103:K103"/>
    <mergeCell ref="N103:O103"/>
    <mergeCell ref="P103:Q103"/>
    <mergeCell ref="J104:K104"/>
    <mergeCell ref="N104:O104"/>
    <mergeCell ref="P104:Q104"/>
    <mergeCell ref="J108:K108"/>
    <mergeCell ref="N108:O108"/>
    <mergeCell ref="P108:Q108"/>
    <mergeCell ref="J106:K106"/>
    <mergeCell ref="N106:O106"/>
    <mergeCell ref="P106:Q106"/>
    <mergeCell ref="J107:K107"/>
    <mergeCell ref="N107:O107"/>
    <mergeCell ref="L101:M101"/>
    <mergeCell ref="N101:O101"/>
    <mergeCell ref="P101:Q101"/>
    <mergeCell ref="J102:K102"/>
    <mergeCell ref="N102:O102"/>
    <mergeCell ref="P102:Q102"/>
    <mergeCell ref="P107:Q107"/>
    <mergeCell ref="J101:K101"/>
    <mergeCell ref="J97:K97"/>
    <mergeCell ref="N97:O97"/>
    <mergeCell ref="P97:Q97"/>
    <mergeCell ref="J98:K98"/>
    <mergeCell ref="N98:O98"/>
    <mergeCell ref="P98:Q98"/>
    <mergeCell ref="L97:M97"/>
    <mergeCell ref="L98:M98"/>
    <mergeCell ref="P80:Q80"/>
    <mergeCell ref="J88:K89"/>
    <mergeCell ref="N88:O89"/>
    <mergeCell ref="P88:Q89"/>
    <mergeCell ref="J95:K95"/>
    <mergeCell ref="N95:O95"/>
    <mergeCell ref="P95:Q95"/>
    <mergeCell ref="J96:K96"/>
    <mergeCell ref="N96:O96"/>
    <mergeCell ref="P96:Q96"/>
    <mergeCell ref="J93:K93"/>
    <mergeCell ref="N93:O93"/>
    <mergeCell ref="P93:Q93"/>
    <mergeCell ref="J94:K94"/>
    <mergeCell ref="N94:O94"/>
    <mergeCell ref="P94:Q94"/>
    <mergeCell ref="R88:R89"/>
    <mergeCell ref="S88:S89"/>
    <mergeCell ref="R24:R25"/>
    <mergeCell ref="S24:S25"/>
    <mergeCell ref="E28:I29"/>
    <mergeCell ref="J28:K29"/>
    <mergeCell ref="N28:O29"/>
    <mergeCell ref="P28:Q29"/>
    <mergeCell ref="E26:I27"/>
    <mergeCell ref="J26:K27"/>
    <mergeCell ref="N26:O27"/>
    <mergeCell ref="J87:K87"/>
    <mergeCell ref="N87:O87"/>
    <mergeCell ref="P87:Q87"/>
    <mergeCell ref="J85:K85"/>
    <mergeCell ref="N85:O85"/>
    <mergeCell ref="P85:Q85"/>
    <mergeCell ref="J86:K86"/>
    <mergeCell ref="N86:O86"/>
    <mergeCell ref="J81:K81"/>
    <mergeCell ref="N81:O81"/>
    <mergeCell ref="P81:Q81"/>
    <mergeCell ref="J82:K82"/>
    <mergeCell ref="N82:O82"/>
    <mergeCell ref="L93:M93"/>
    <mergeCell ref="L94:M94"/>
    <mergeCell ref="L95:M95"/>
    <mergeCell ref="L96:M96"/>
    <mergeCell ref="J91:K91"/>
    <mergeCell ref="N91:O91"/>
    <mergeCell ref="P91:Q91"/>
    <mergeCell ref="J92:K92"/>
    <mergeCell ref="N92:O92"/>
    <mergeCell ref="P92:Q92"/>
    <mergeCell ref="J90:K90"/>
    <mergeCell ref="N90:O90"/>
    <mergeCell ref="P90:Q90"/>
    <mergeCell ref="L90:M90"/>
    <mergeCell ref="L91:M91"/>
    <mergeCell ref="L92:M92"/>
    <mergeCell ref="P86:Q86"/>
    <mergeCell ref="J83:K83"/>
    <mergeCell ref="N83:O83"/>
    <mergeCell ref="P83:Q83"/>
    <mergeCell ref="J84:K84"/>
    <mergeCell ref="N84:O84"/>
    <mergeCell ref="P84:Q84"/>
    <mergeCell ref="P82:Q82"/>
    <mergeCell ref="J78:K78"/>
    <mergeCell ref="N78:O78"/>
    <mergeCell ref="P78:Q78"/>
    <mergeCell ref="J79:K79"/>
    <mergeCell ref="N79:O79"/>
    <mergeCell ref="P79:Q79"/>
    <mergeCell ref="J76:K76"/>
    <mergeCell ref="N76:O76"/>
    <mergeCell ref="P76:Q76"/>
    <mergeCell ref="J77:K77"/>
    <mergeCell ref="N77:O77"/>
    <mergeCell ref="P77:Q77"/>
    <mergeCell ref="L76:M76"/>
    <mergeCell ref="L77:M77"/>
    <mergeCell ref="L78:M78"/>
    <mergeCell ref="L79:M79"/>
    <mergeCell ref="N80:O80"/>
    <mergeCell ref="J74:K74"/>
    <mergeCell ref="N74:O74"/>
    <mergeCell ref="P74:Q74"/>
    <mergeCell ref="J75:K75"/>
    <mergeCell ref="N75:O75"/>
    <mergeCell ref="P75:Q75"/>
    <mergeCell ref="J72:K72"/>
    <mergeCell ref="N72:O72"/>
    <mergeCell ref="P72:Q72"/>
    <mergeCell ref="J73:K73"/>
    <mergeCell ref="N73:O73"/>
    <mergeCell ref="P73:Q73"/>
    <mergeCell ref="L72:M72"/>
    <mergeCell ref="L73:M73"/>
    <mergeCell ref="L74:M74"/>
    <mergeCell ref="L75:M75"/>
    <mergeCell ref="J70:K70"/>
    <mergeCell ref="N70:O70"/>
    <mergeCell ref="P70:Q70"/>
    <mergeCell ref="J71:K71"/>
    <mergeCell ref="N71:O71"/>
    <mergeCell ref="P71:Q71"/>
    <mergeCell ref="J67:K67"/>
    <mergeCell ref="N67:O67"/>
    <mergeCell ref="P67:Q67"/>
    <mergeCell ref="J68:K68"/>
    <mergeCell ref="N68:O68"/>
    <mergeCell ref="P68:Q68"/>
    <mergeCell ref="L69:M69"/>
    <mergeCell ref="L70:M70"/>
    <mergeCell ref="L71:M71"/>
    <mergeCell ref="L67:M67"/>
    <mergeCell ref="L68:M68"/>
    <mergeCell ref="J66:K66"/>
    <mergeCell ref="N66:O66"/>
    <mergeCell ref="P66:Q66"/>
    <mergeCell ref="J62:K62"/>
    <mergeCell ref="N62:O62"/>
    <mergeCell ref="P62:Q62"/>
    <mergeCell ref="J64:K64"/>
    <mergeCell ref="N64:O64"/>
    <mergeCell ref="P64:Q64"/>
    <mergeCell ref="J63:K63"/>
    <mergeCell ref="L63:M63"/>
    <mergeCell ref="N63:O63"/>
    <mergeCell ref="P63:Q63"/>
    <mergeCell ref="L62:M62"/>
    <mergeCell ref="L64:M64"/>
    <mergeCell ref="L65:M65"/>
    <mergeCell ref="L66:M66"/>
    <mergeCell ref="J112:K112"/>
    <mergeCell ref="N112:O112"/>
    <mergeCell ref="P112:Q112"/>
    <mergeCell ref="J56:K56"/>
    <mergeCell ref="J57:K57"/>
    <mergeCell ref="N57:O57"/>
    <mergeCell ref="P57:Q57"/>
    <mergeCell ref="E88:I89"/>
    <mergeCell ref="J58:K58"/>
    <mergeCell ref="N58:O58"/>
    <mergeCell ref="P58:Q58"/>
    <mergeCell ref="J59:K59"/>
    <mergeCell ref="N59:O59"/>
    <mergeCell ref="P59:Q59"/>
    <mergeCell ref="J60:K60"/>
    <mergeCell ref="N60:O60"/>
    <mergeCell ref="P60:Q60"/>
    <mergeCell ref="J61:K61"/>
    <mergeCell ref="N61:O61"/>
    <mergeCell ref="P61:Q61"/>
    <mergeCell ref="E102:I102"/>
    <mergeCell ref="J65:K65"/>
    <mergeCell ref="N65:O65"/>
    <mergeCell ref="P65:Q65"/>
    <mergeCell ref="N33:O33"/>
    <mergeCell ref="E55:I55"/>
    <mergeCell ref="J55:K55"/>
    <mergeCell ref="N55:O55"/>
    <mergeCell ref="P55:Q55"/>
    <mergeCell ref="S41:S42"/>
    <mergeCell ref="S43:S44"/>
    <mergeCell ref="S45:S46"/>
    <mergeCell ref="S47:S48"/>
    <mergeCell ref="J53:K53"/>
    <mergeCell ref="N53:O53"/>
    <mergeCell ref="P53:Q53"/>
    <mergeCell ref="R41:R42"/>
    <mergeCell ref="R43:R44"/>
    <mergeCell ref="R45:R46"/>
    <mergeCell ref="R47:R48"/>
    <mergeCell ref="S34:S35"/>
    <mergeCell ref="S38:S39"/>
    <mergeCell ref="R34:R35"/>
    <mergeCell ref="N51:O51"/>
    <mergeCell ref="P51:Q51"/>
    <mergeCell ref="N41:O42"/>
    <mergeCell ref="P41:Q42"/>
    <mergeCell ref="N43:O44"/>
    <mergeCell ref="P43:Q44"/>
    <mergeCell ref="N38:O39"/>
    <mergeCell ref="P38:Q39"/>
    <mergeCell ref="N40:O40"/>
    <mergeCell ref="P40:Q40"/>
    <mergeCell ref="R38:R39"/>
    <mergeCell ref="N36:O36"/>
    <mergeCell ref="P36:Q36"/>
    <mergeCell ref="N37:O37"/>
    <mergeCell ref="P37:Q37"/>
    <mergeCell ref="N24:O25"/>
    <mergeCell ref="P24:Q25"/>
    <mergeCell ref="P13:Q13"/>
    <mergeCell ref="R14:R15"/>
    <mergeCell ref="S14:S15"/>
    <mergeCell ref="R16:R17"/>
    <mergeCell ref="R18:R19"/>
    <mergeCell ref="R20:R21"/>
    <mergeCell ref="R30:R31"/>
    <mergeCell ref="N13:O13"/>
    <mergeCell ref="S16:S17"/>
    <mergeCell ref="S18:S19"/>
    <mergeCell ref="S20:S21"/>
    <mergeCell ref="S30:S31"/>
    <mergeCell ref="P26:Q27"/>
    <mergeCell ref="R26:R27"/>
    <mergeCell ref="R28:R29"/>
    <mergeCell ref="S26:S27"/>
    <mergeCell ref="S28:S29"/>
    <mergeCell ref="N30:O31"/>
    <mergeCell ref="P30:Q31"/>
    <mergeCell ref="N52:O52"/>
    <mergeCell ref="P52:Q52"/>
    <mergeCell ref="N49:O49"/>
    <mergeCell ref="P49:Q49"/>
    <mergeCell ref="N50:O50"/>
    <mergeCell ref="P50:Q50"/>
    <mergeCell ref="N45:O46"/>
    <mergeCell ref="P45:Q46"/>
    <mergeCell ref="N47:O48"/>
    <mergeCell ref="P47:Q48"/>
    <mergeCell ref="N11:O11"/>
    <mergeCell ref="P11:Q11"/>
    <mergeCell ref="J9:K10"/>
    <mergeCell ref="N9:O10"/>
    <mergeCell ref="P9:Q10"/>
    <mergeCell ref="J40:K40"/>
    <mergeCell ref="J49:K49"/>
    <mergeCell ref="J50:K50"/>
    <mergeCell ref="J51:K51"/>
    <mergeCell ref="N18:O19"/>
    <mergeCell ref="P18:Q19"/>
    <mergeCell ref="N20:O21"/>
    <mergeCell ref="P20:Q21"/>
    <mergeCell ref="N16:O17"/>
    <mergeCell ref="P16:Q17"/>
    <mergeCell ref="N14:O15"/>
    <mergeCell ref="P14:Q15"/>
    <mergeCell ref="P33:Q33"/>
    <mergeCell ref="N34:O35"/>
    <mergeCell ref="P34:Q35"/>
    <mergeCell ref="N22:O22"/>
    <mergeCell ref="P22:Q22"/>
    <mergeCell ref="N23:O23"/>
    <mergeCell ref="P23:Q23"/>
    <mergeCell ref="J52:K52"/>
    <mergeCell ref="J11:K11"/>
    <mergeCell ref="J14:K15"/>
    <mergeCell ref="J41:K42"/>
    <mergeCell ref="J43:K44"/>
    <mergeCell ref="J45:K46"/>
    <mergeCell ref="J47:K48"/>
    <mergeCell ref="J22:K22"/>
    <mergeCell ref="J23:K23"/>
    <mergeCell ref="J32:K32"/>
    <mergeCell ref="J33:K33"/>
    <mergeCell ref="J36:K36"/>
    <mergeCell ref="J37:K37"/>
    <mergeCell ref="J16:K17"/>
    <mergeCell ref="J18:K19"/>
    <mergeCell ref="J20:K21"/>
    <mergeCell ref="J30:K31"/>
    <mergeCell ref="J34:K35"/>
    <mergeCell ref="J38:K39"/>
    <mergeCell ref="J24:K25"/>
    <mergeCell ref="J13:K13"/>
    <mergeCell ref="E47:I48"/>
    <mergeCell ref="E41:I42"/>
    <mergeCell ref="E38:I39"/>
    <mergeCell ref="E34:I35"/>
    <mergeCell ref="E30:I31"/>
    <mergeCell ref="E13:I13"/>
    <mergeCell ref="E14:I15"/>
    <mergeCell ref="E16:I17"/>
    <mergeCell ref="E18:I19"/>
    <mergeCell ref="E20:I21"/>
    <mergeCell ref="E43:I44"/>
    <mergeCell ref="E45:I46"/>
    <mergeCell ref="E24:I25"/>
    <mergeCell ref="L22:M22"/>
    <mergeCell ref="L23:M23"/>
    <mergeCell ref="L24:M25"/>
    <mergeCell ref="L26:M27"/>
    <mergeCell ref="L28:M29"/>
    <mergeCell ref="L30:M31"/>
    <mergeCell ref="L32:M32"/>
    <mergeCell ref="L33:M33"/>
    <mergeCell ref="L9:M10"/>
    <mergeCell ref="L11:M11"/>
    <mergeCell ref="L13:M13"/>
    <mergeCell ref="L14:M15"/>
    <mergeCell ref="L16:M17"/>
    <mergeCell ref="L18:M19"/>
    <mergeCell ref="L20:M21"/>
    <mergeCell ref="L34:M35"/>
    <mergeCell ref="L36:M36"/>
    <mergeCell ref="L37:M37"/>
    <mergeCell ref="L38:M39"/>
    <mergeCell ref="L40:M40"/>
    <mergeCell ref="L41:M42"/>
    <mergeCell ref="L43:M44"/>
    <mergeCell ref="L45:M46"/>
    <mergeCell ref="L47:M48"/>
    <mergeCell ref="L61:M61"/>
    <mergeCell ref="L49:M49"/>
    <mergeCell ref="L50:M50"/>
    <mergeCell ref="L51:M51"/>
    <mergeCell ref="L52:M52"/>
    <mergeCell ref="L53:M53"/>
    <mergeCell ref="L55:M55"/>
    <mergeCell ref="L56:M56"/>
    <mergeCell ref="L57:M57"/>
    <mergeCell ref="L58:M58"/>
    <mergeCell ref="A112:I112"/>
    <mergeCell ref="A9:I10"/>
    <mergeCell ref="A11:I11"/>
    <mergeCell ref="A12:I12"/>
    <mergeCell ref="A53:I53"/>
    <mergeCell ref="L106:M106"/>
    <mergeCell ref="L107:M107"/>
    <mergeCell ref="L108:M108"/>
    <mergeCell ref="L112:M112"/>
    <mergeCell ref="L102:M102"/>
    <mergeCell ref="L103:M103"/>
    <mergeCell ref="L104:M104"/>
    <mergeCell ref="L105:M105"/>
    <mergeCell ref="L80:M80"/>
    <mergeCell ref="L81:M81"/>
    <mergeCell ref="L82:M82"/>
    <mergeCell ref="L83:M83"/>
    <mergeCell ref="L84:M84"/>
    <mergeCell ref="L85:M85"/>
    <mergeCell ref="L86:M86"/>
    <mergeCell ref="L87:M87"/>
    <mergeCell ref="L88:M89"/>
    <mergeCell ref="L59:M59"/>
    <mergeCell ref="L60:M60"/>
  </mergeCells>
  <pageMargins left="0.7" right="0.7" top="0.75" bottom="0.75" header="0.3" footer="0.3"/>
  <pageSetup paperSize="9" scale="55" orientation="portrait" horizontalDpi="300" verticalDpi="300" r:id="rId2"/>
  <rowBreaks count="1" manualBreakCount="1">
    <brk id="54" max="18" man="1"/>
  </rowBreaks>
  <colBreaks count="1" manualBreakCount="1">
    <brk id="19" max="111" man="1"/>
  </colBreaks>
  <ignoredErrors>
    <ignoredError sqref="N59:O59 L59:M59 N58" formula="1"/>
    <ignoredError sqref="R67:S98 R17:R31 R16 S17:S31 S14:S15 S16 R34:R52 S34:S52 S112 R55:S55 R57:R63 S65:S66 S63 R99:S111 S13 R32:S33 S53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zoomScaleNormal="100" workbookViewId="0"/>
  </sheetViews>
  <sheetFormatPr defaultRowHeight="15" x14ac:dyDescent="0.25"/>
  <cols>
    <col min="1" max="14" width="8.85546875" customWidth="1"/>
    <col min="16" max="16" width="12.7109375" bestFit="1" customWidth="1"/>
    <col min="17" max="17" width="11.7109375" bestFit="1" customWidth="1"/>
    <col min="18" max="18" width="10.140625" bestFit="1" customWidth="1"/>
  </cols>
  <sheetData>
    <row r="1" spans="1:18" x14ac:dyDescent="0.25">
      <c r="A1" s="1" t="s">
        <v>14</v>
      </c>
    </row>
    <row r="2" spans="1:18" x14ac:dyDescent="0.25">
      <c r="A2" t="s">
        <v>12</v>
      </c>
    </row>
    <row r="3" spans="1:18" x14ac:dyDescent="0.25">
      <c r="A3" t="s">
        <v>13</v>
      </c>
    </row>
    <row r="5" spans="1:18" x14ac:dyDescent="0.25">
      <c r="A5" s="196" t="s">
        <v>0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</row>
    <row r="6" spans="1:18" x14ac:dyDescent="0.25">
      <c r="A6" s="196" t="s">
        <v>172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69"/>
      <c r="P6" s="69"/>
    </row>
    <row r="7" spans="1:18" x14ac:dyDescent="0.25">
      <c r="A7" s="196" t="s">
        <v>174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</row>
    <row r="8" spans="1:18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pans="1:18" ht="15.75" thickBot="1" x14ac:dyDescent="0.3">
      <c r="A9" s="1" t="s">
        <v>131</v>
      </c>
    </row>
    <row r="10" spans="1:18" ht="15" customHeight="1" x14ac:dyDescent="0.25">
      <c r="A10" s="307" t="s">
        <v>161</v>
      </c>
      <c r="B10" s="308"/>
      <c r="C10" s="308"/>
      <c r="D10" s="308"/>
      <c r="E10" s="162" t="s">
        <v>147</v>
      </c>
      <c r="F10" s="163"/>
      <c r="G10" s="162" t="s">
        <v>221</v>
      </c>
      <c r="H10" s="163"/>
      <c r="I10" s="162" t="s">
        <v>222</v>
      </c>
      <c r="J10" s="163"/>
      <c r="K10" s="162" t="s">
        <v>223</v>
      </c>
      <c r="L10" s="163"/>
      <c r="M10" s="18" t="s">
        <v>40</v>
      </c>
      <c r="N10" s="18" t="s">
        <v>40</v>
      </c>
    </row>
    <row r="11" spans="1:18" x14ac:dyDescent="0.25">
      <c r="A11" s="27" t="s">
        <v>132</v>
      </c>
      <c r="B11" s="309" t="s">
        <v>133</v>
      </c>
      <c r="C11" s="309"/>
      <c r="D11" s="309"/>
      <c r="E11" s="164"/>
      <c r="F11" s="165"/>
      <c r="G11" s="164"/>
      <c r="H11" s="165"/>
      <c r="I11" s="164"/>
      <c r="J11" s="165"/>
      <c r="K11" s="164"/>
      <c r="L11" s="165"/>
      <c r="M11" s="21" t="s">
        <v>143</v>
      </c>
      <c r="N11" s="19" t="s">
        <v>145</v>
      </c>
    </row>
    <row r="12" spans="1:18" ht="15.75" thickBot="1" x14ac:dyDescent="0.3">
      <c r="A12" s="213">
        <v>1</v>
      </c>
      <c r="B12" s="214"/>
      <c r="C12" s="214"/>
      <c r="D12" s="214"/>
      <c r="E12" s="213">
        <v>2</v>
      </c>
      <c r="F12" s="214"/>
      <c r="G12" s="213">
        <v>3</v>
      </c>
      <c r="H12" s="214"/>
      <c r="I12" s="213">
        <v>4</v>
      </c>
      <c r="J12" s="214"/>
      <c r="K12" s="213">
        <v>5</v>
      </c>
      <c r="L12" s="214"/>
      <c r="M12" s="20">
        <v>6</v>
      </c>
      <c r="N12" s="20">
        <v>7</v>
      </c>
    </row>
    <row r="13" spans="1:18" x14ac:dyDescent="0.25">
      <c r="A13" s="74">
        <v>1</v>
      </c>
      <c r="B13" s="75" t="s">
        <v>122</v>
      </c>
      <c r="C13" s="75"/>
      <c r="D13" s="75"/>
      <c r="E13" s="310">
        <f t="shared" ref="E13" si="0">E14+E15+E16</f>
        <v>20106.560000000001</v>
      </c>
      <c r="F13" s="311"/>
      <c r="G13" s="310">
        <f t="shared" ref="G13" si="1">G14+G15+G16</f>
        <v>0</v>
      </c>
      <c r="H13" s="311"/>
      <c r="I13" s="310">
        <f t="shared" ref="I13" si="2">I14+I15+I16</f>
        <v>36410.659999999996</v>
      </c>
      <c r="J13" s="311"/>
      <c r="K13" s="310">
        <f t="shared" ref="K13" si="3">K14+K15+K16</f>
        <v>31547.11</v>
      </c>
      <c r="L13" s="311"/>
      <c r="M13" s="39">
        <f>K13/E13*100</f>
        <v>156.899588989862</v>
      </c>
      <c r="N13" s="39">
        <f>K13/I13*100</f>
        <v>86.642510737240158</v>
      </c>
    </row>
    <row r="14" spans="1:18" x14ac:dyDescent="0.25">
      <c r="A14" s="11">
        <v>11</v>
      </c>
      <c r="B14" s="4" t="s">
        <v>122</v>
      </c>
      <c r="C14" s="4"/>
      <c r="D14" s="4"/>
      <c r="E14" s="169">
        <v>19805.97</v>
      </c>
      <c r="F14" s="170"/>
      <c r="G14" s="169">
        <v>0</v>
      </c>
      <c r="H14" s="170"/>
      <c r="I14" s="169">
        <v>29305.55</v>
      </c>
      <c r="J14" s="170"/>
      <c r="K14" s="169">
        <f>4399.99+1194.59+730.02+2000+16537.65+480.82+1639.58+1300+79.34+516.05+422.09</f>
        <v>29300.13</v>
      </c>
      <c r="L14" s="170"/>
      <c r="M14" s="40">
        <f>K14/E14*100</f>
        <v>147.93584964533423</v>
      </c>
      <c r="N14" s="40">
        <f>K14/I14*100</f>
        <v>99.981505209764038</v>
      </c>
      <c r="P14" s="26"/>
      <c r="Q14" s="26"/>
      <c r="R14" s="26"/>
    </row>
    <row r="15" spans="1:18" x14ac:dyDescent="0.25">
      <c r="A15" s="11">
        <v>12</v>
      </c>
      <c r="B15" s="4" t="s">
        <v>123</v>
      </c>
      <c r="C15" s="4"/>
      <c r="D15" s="4"/>
      <c r="E15" s="169">
        <v>300.58999999999997</v>
      </c>
      <c r="F15" s="170"/>
      <c r="G15" s="169">
        <v>0</v>
      </c>
      <c r="H15" s="170"/>
      <c r="I15" s="169">
        <v>2183.7600000000002</v>
      </c>
      <c r="J15" s="170"/>
      <c r="K15" s="169">
        <f>1874.47+372.51</f>
        <v>2246.98</v>
      </c>
      <c r="L15" s="170"/>
      <c r="M15" s="40">
        <f>K15/E15*100</f>
        <v>747.5232043647494</v>
      </c>
      <c r="N15" s="40">
        <f>K15/I15*100</f>
        <v>102.89500677730152</v>
      </c>
      <c r="P15" s="26"/>
      <c r="Q15" s="26"/>
      <c r="R15" s="26"/>
    </row>
    <row r="16" spans="1:18" x14ac:dyDescent="0.25">
      <c r="A16" s="11">
        <v>19</v>
      </c>
      <c r="B16" s="4" t="s">
        <v>124</v>
      </c>
      <c r="C16" s="4"/>
      <c r="D16" s="4"/>
      <c r="E16" s="169">
        <v>0</v>
      </c>
      <c r="F16" s="170"/>
      <c r="G16" s="169">
        <v>0</v>
      </c>
      <c r="H16" s="170"/>
      <c r="I16" s="169">
        <v>4921.3500000000004</v>
      </c>
      <c r="J16" s="170"/>
      <c r="K16" s="169">
        <v>0</v>
      </c>
      <c r="L16" s="170"/>
      <c r="M16" s="40" t="e">
        <f t="shared" ref="M16:M25" si="4">K16/E16*100</f>
        <v>#DIV/0!</v>
      </c>
      <c r="N16" s="40">
        <f>K16/I16*100</f>
        <v>0</v>
      </c>
      <c r="P16" s="26"/>
      <c r="Q16" s="26"/>
      <c r="R16" s="26"/>
    </row>
    <row r="17" spans="1:18" x14ac:dyDescent="0.25">
      <c r="A17" s="16">
        <v>3</v>
      </c>
      <c r="B17" s="5" t="s">
        <v>180</v>
      </c>
      <c r="C17" s="5"/>
      <c r="D17" s="5"/>
      <c r="E17" s="303">
        <f t="shared" ref="E17" si="5">E18</f>
        <v>6431.45</v>
      </c>
      <c r="F17" s="304"/>
      <c r="G17" s="303">
        <f t="shared" ref="G17" si="6">G18</f>
        <v>3100</v>
      </c>
      <c r="H17" s="304"/>
      <c r="I17" s="303">
        <f t="shared" ref="I17" si="7">I18</f>
        <v>3100</v>
      </c>
      <c r="J17" s="304"/>
      <c r="K17" s="303">
        <f t="shared" ref="K17" si="8">K18</f>
        <v>28441.98</v>
      </c>
      <c r="L17" s="304"/>
      <c r="M17" s="39">
        <f t="shared" ref="M17" si="9">K17/E17*100</f>
        <v>442.23277798941137</v>
      </c>
      <c r="N17" s="39">
        <f t="shared" ref="N17" si="10">K17/I17*100</f>
        <v>917.48322580645163</v>
      </c>
      <c r="P17" s="26"/>
      <c r="Q17" s="26"/>
      <c r="R17" s="26"/>
    </row>
    <row r="18" spans="1:18" x14ac:dyDescent="0.25">
      <c r="A18" s="11">
        <v>31</v>
      </c>
      <c r="B18" s="4" t="s">
        <v>125</v>
      </c>
      <c r="C18" s="4"/>
      <c r="D18" s="4"/>
      <c r="E18" s="169">
        <v>6431.45</v>
      </c>
      <c r="F18" s="170"/>
      <c r="G18" s="169">
        <v>3100</v>
      </c>
      <c r="H18" s="170"/>
      <c r="I18" s="169">
        <v>3100</v>
      </c>
      <c r="J18" s="170"/>
      <c r="K18" s="169">
        <v>28441.98</v>
      </c>
      <c r="L18" s="170"/>
      <c r="M18" s="40">
        <f t="shared" si="4"/>
        <v>442.23277798941137</v>
      </c>
      <c r="N18" s="40">
        <f t="shared" ref="N18:N28" si="11">K18/I18*100</f>
        <v>917.48322580645163</v>
      </c>
      <c r="P18" s="26"/>
    </row>
    <row r="19" spans="1:18" x14ac:dyDescent="0.25">
      <c r="A19" s="16">
        <v>4</v>
      </c>
      <c r="B19" s="5" t="s">
        <v>120</v>
      </c>
      <c r="C19" s="5"/>
      <c r="D19" s="5"/>
      <c r="E19" s="303">
        <f t="shared" ref="E19" si="12">E20+E21+E22</f>
        <v>357290.7</v>
      </c>
      <c r="F19" s="304"/>
      <c r="G19" s="303">
        <f t="shared" ref="G19" si="13">G20+G21+G22</f>
        <v>176961.86</v>
      </c>
      <c r="H19" s="304"/>
      <c r="I19" s="303">
        <f t="shared" ref="I19" si="14">I20+I21+I22</f>
        <v>176961.86</v>
      </c>
      <c r="J19" s="304"/>
      <c r="K19" s="303">
        <f t="shared" ref="K19" si="15">K20+K21+K22</f>
        <v>177870.86</v>
      </c>
      <c r="L19" s="304"/>
      <c r="M19" s="39">
        <f t="shared" ref="M19" si="16">K19/E19*100</f>
        <v>49.783232533060605</v>
      </c>
      <c r="N19" s="39">
        <f t="shared" ref="N19" si="17">K19/I19*100</f>
        <v>100.51367000776325</v>
      </c>
      <c r="P19" s="26"/>
    </row>
    <row r="20" spans="1:18" x14ac:dyDescent="0.25">
      <c r="A20" s="11">
        <v>41</v>
      </c>
      <c r="B20" s="4" t="s">
        <v>120</v>
      </c>
      <c r="C20" s="4"/>
      <c r="D20" s="4"/>
      <c r="E20" s="169">
        <v>1368.97</v>
      </c>
      <c r="F20" s="170"/>
      <c r="G20" s="169">
        <v>600</v>
      </c>
      <c r="H20" s="170"/>
      <c r="I20" s="169">
        <v>600</v>
      </c>
      <c r="J20" s="170"/>
      <c r="K20" s="169">
        <v>1509</v>
      </c>
      <c r="L20" s="170"/>
      <c r="M20" s="40">
        <f t="shared" si="4"/>
        <v>110.22885819265579</v>
      </c>
      <c r="N20" s="40">
        <f t="shared" si="11"/>
        <v>251.5</v>
      </c>
      <c r="P20" s="26"/>
      <c r="Q20" s="26"/>
      <c r="R20" s="26"/>
    </row>
    <row r="21" spans="1:18" x14ac:dyDescent="0.25">
      <c r="A21" s="11">
        <v>42</v>
      </c>
      <c r="B21" s="4" t="s">
        <v>126</v>
      </c>
      <c r="C21" s="4"/>
      <c r="D21" s="4"/>
      <c r="E21" s="169">
        <v>30664.7</v>
      </c>
      <c r="F21" s="170"/>
      <c r="G21" s="169">
        <v>15497.11</v>
      </c>
      <c r="H21" s="170"/>
      <c r="I21" s="169">
        <v>15497.11</v>
      </c>
      <c r="J21" s="170"/>
      <c r="K21" s="169">
        <v>15497.11</v>
      </c>
      <c r="L21" s="170"/>
      <c r="M21" s="40">
        <f t="shared" si="4"/>
        <v>50.537295326548119</v>
      </c>
      <c r="N21" s="40">
        <f t="shared" si="11"/>
        <v>100</v>
      </c>
      <c r="P21" s="26"/>
      <c r="Q21" s="26"/>
      <c r="R21" s="26"/>
    </row>
    <row r="22" spans="1:18" x14ac:dyDescent="0.25">
      <c r="A22" s="11">
        <v>45</v>
      </c>
      <c r="B22" s="4" t="s">
        <v>127</v>
      </c>
      <c r="C22" s="4"/>
      <c r="D22" s="4"/>
      <c r="E22" s="169">
        <v>325257.03000000003</v>
      </c>
      <c r="F22" s="170"/>
      <c r="G22" s="169">
        <v>160864.75</v>
      </c>
      <c r="H22" s="170"/>
      <c r="I22" s="169">
        <v>160864.75</v>
      </c>
      <c r="J22" s="170"/>
      <c r="K22" s="169">
        <v>160864.75</v>
      </c>
      <c r="L22" s="170"/>
      <c r="M22" s="40">
        <f t="shared" si="4"/>
        <v>49.457731935878527</v>
      </c>
      <c r="N22" s="40">
        <f t="shared" si="11"/>
        <v>100</v>
      </c>
      <c r="P22" s="26"/>
    </row>
    <row r="23" spans="1:18" x14ac:dyDescent="0.25">
      <c r="A23" s="16">
        <v>5</v>
      </c>
      <c r="B23" s="5" t="s">
        <v>181</v>
      </c>
      <c r="C23" s="5"/>
      <c r="D23" s="5"/>
      <c r="E23" s="303">
        <f>E24+E25</f>
        <v>1649567.66</v>
      </c>
      <c r="F23" s="304"/>
      <c r="G23" s="303">
        <f t="shared" ref="G23" si="18">G24+G25</f>
        <v>2019936</v>
      </c>
      <c r="H23" s="304"/>
      <c r="I23" s="303">
        <f t="shared" ref="I23" si="19">I24+I25</f>
        <v>2027432.6199999999</v>
      </c>
      <c r="J23" s="304"/>
      <c r="K23" s="303">
        <f t="shared" ref="K23" si="20">K24+K25</f>
        <v>2008615.0099999998</v>
      </c>
      <c r="L23" s="304"/>
      <c r="M23" s="39">
        <f t="shared" ref="M23" si="21">K23/E23*100</f>
        <v>121.76614871317251</v>
      </c>
      <c r="N23" s="39">
        <f t="shared" ref="N23" si="22">K23/I23*100</f>
        <v>99.071850289160281</v>
      </c>
      <c r="P23" s="26"/>
    </row>
    <row r="24" spans="1:18" x14ac:dyDescent="0.25">
      <c r="A24" s="11">
        <v>51</v>
      </c>
      <c r="B24" s="4" t="s">
        <v>128</v>
      </c>
      <c r="C24" s="4"/>
      <c r="D24" s="4"/>
      <c r="E24" s="169">
        <f>45090.22+1427.2+1591205.22+797+1204.3+198.72+154.62</f>
        <v>1640077.28</v>
      </c>
      <c r="F24" s="170"/>
      <c r="G24" s="169">
        <f>21730+1991700+1000</f>
        <v>2014430</v>
      </c>
      <c r="H24" s="170"/>
      <c r="I24" s="169">
        <v>2016505.47</v>
      </c>
      <c r="J24" s="170"/>
      <c r="K24" s="169">
        <f>19148.98+797+1976878.4+1426.5</f>
        <v>1998250.88</v>
      </c>
      <c r="L24" s="170"/>
      <c r="M24" s="40">
        <f t="shared" si="4"/>
        <v>121.83882457051047</v>
      </c>
      <c r="N24" s="40">
        <f t="shared" si="11"/>
        <v>99.094741359665136</v>
      </c>
      <c r="P24" s="26"/>
      <c r="Q24" s="26"/>
      <c r="R24" s="26"/>
    </row>
    <row r="25" spans="1:18" x14ac:dyDescent="0.25">
      <c r="A25" s="11">
        <v>54</v>
      </c>
      <c r="B25" s="4" t="s">
        <v>129</v>
      </c>
      <c r="C25" s="4"/>
      <c r="D25" s="4"/>
      <c r="E25" s="169">
        <v>9490.3799999999992</v>
      </c>
      <c r="F25" s="170"/>
      <c r="G25" s="169">
        <v>5506</v>
      </c>
      <c r="H25" s="170"/>
      <c r="I25" s="169">
        <v>10927.15</v>
      </c>
      <c r="J25" s="170"/>
      <c r="K25" s="169">
        <f>5506+4435.09+423.04</f>
        <v>10364.130000000001</v>
      </c>
      <c r="L25" s="170"/>
      <c r="M25" s="40">
        <f t="shared" si="4"/>
        <v>109.20669140750951</v>
      </c>
      <c r="N25" s="40">
        <f t="shared" si="11"/>
        <v>94.847512846442129</v>
      </c>
      <c r="P25" s="26"/>
      <c r="Q25" s="26"/>
    </row>
    <row r="26" spans="1:18" x14ac:dyDescent="0.25">
      <c r="A26" s="9">
        <v>6</v>
      </c>
      <c r="B26" s="77" t="s">
        <v>182</v>
      </c>
      <c r="C26" s="77"/>
      <c r="D26" s="77"/>
      <c r="E26" s="303">
        <f t="shared" ref="E26" si="23">E27</f>
        <v>9986.5499999999993</v>
      </c>
      <c r="F26" s="304"/>
      <c r="G26" s="303">
        <f t="shared" ref="G26" si="24">G27</f>
        <v>0</v>
      </c>
      <c r="H26" s="304"/>
      <c r="I26" s="303">
        <f t="shared" ref="I26" si="25">I27</f>
        <v>0</v>
      </c>
      <c r="J26" s="304"/>
      <c r="K26" s="303">
        <f t="shared" ref="K26" si="26">K27</f>
        <v>6522</v>
      </c>
      <c r="L26" s="304"/>
      <c r="M26" s="39">
        <f>K26/E26*100</f>
        <v>65.307839043513525</v>
      </c>
      <c r="N26" s="39" t="e">
        <f t="shared" ref="N26" si="27">K26/I26*100</f>
        <v>#DIV/0!</v>
      </c>
      <c r="P26" s="26"/>
      <c r="Q26" s="26"/>
    </row>
    <row r="27" spans="1:18" ht="15.75" thickBot="1" x14ac:dyDescent="0.3">
      <c r="A27" s="28">
        <v>61</v>
      </c>
      <c r="B27" s="29" t="s">
        <v>130</v>
      </c>
      <c r="C27" s="29"/>
      <c r="D27" s="29"/>
      <c r="E27" s="169">
        <f>4630.39+5356.16</f>
        <v>9986.5499999999993</v>
      </c>
      <c r="F27" s="170"/>
      <c r="G27" s="299">
        <v>0</v>
      </c>
      <c r="H27" s="300"/>
      <c r="I27" s="299">
        <v>0</v>
      </c>
      <c r="J27" s="300"/>
      <c r="K27" s="169">
        <v>6522</v>
      </c>
      <c r="L27" s="170"/>
      <c r="M27" s="40">
        <f>K27/E27*100</f>
        <v>65.307839043513525</v>
      </c>
      <c r="N27" s="40" t="e">
        <f t="shared" si="11"/>
        <v>#DIV/0!</v>
      </c>
      <c r="P27" s="26"/>
      <c r="Q27" s="26"/>
    </row>
    <row r="28" spans="1:18" ht="15.75" thickBot="1" x14ac:dyDescent="0.3">
      <c r="A28" s="302" t="s">
        <v>121</v>
      </c>
      <c r="B28" s="302"/>
      <c r="C28" s="302"/>
      <c r="D28" s="302"/>
      <c r="E28" s="297">
        <f>SUM(E13+E17+E19+E23+E26)</f>
        <v>2043382.92</v>
      </c>
      <c r="F28" s="301"/>
      <c r="G28" s="297">
        <f>SUM(G13+G17+G19+G23+G26)</f>
        <v>2199997.86</v>
      </c>
      <c r="H28" s="301"/>
      <c r="I28" s="297">
        <f>SUM(I13+I17+I19+I23+I26)</f>
        <v>2243905.1399999997</v>
      </c>
      <c r="J28" s="301"/>
      <c r="K28" s="297">
        <f>SUM(K13+K17+K19+K23+K26)</f>
        <v>2252996.96</v>
      </c>
      <c r="L28" s="301"/>
      <c r="M28" s="46">
        <f>K28/E28*100</f>
        <v>110.25818694814187</v>
      </c>
      <c r="N28" s="46">
        <f t="shared" si="11"/>
        <v>100.40517844707108</v>
      </c>
    </row>
    <row r="29" spans="1:18" x14ac:dyDescent="0.25">
      <c r="E29" s="87"/>
      <c r="F29" s="87"/>
      <c r="P29" s="26"/>
    </row>
    <row r="30" spans="1:18" ht="15.75" thickBot="1" x14ac:dyDescent="0.3">
      <c r="A30" s="1" t="s">
        <v>184</v>
      </c>
      <c r="E30" s="87"/>
      <c r="F30" s="87"/>
      <c r="Q30" s="26"/>
      <c r="R30" s="26"/>
    </row>
    <row r="31" spans="1:18" ht="15" customHeight="1" x14ac:dyDescent="0.25">
      <c r="A31" s="307" t="s">
        <v>161</v>
      </c>
      <c r="B31" s="308"/>
      <c r="C31" s="308"/>
      <c r="D31" s="308"/>
      <c r="E31" s="162" t="s">
        <v>223</v>
      </c>
      <c r="F31" s="163"/>
      <c r="G31" s="162" t="s">
        <v>221</v>
      </c>
      <c r="H31" s="163"/>
      <c r="I31" s="162" t="s">
        <v>222</v>
      </c>
      <c r="J31" s="163"/>
      <c r="K31" s="162" t="s">
        <v>223</v>
      </c>
      <c r="L31" s="163"/>
      <c r="M31" s="18" t="s">
        <v>40</v>
      </c>
      <c r="N31" s="18" t="s">
        <v>40</v>
      </c>
    </row>
    <row r="32" spans="1:18" x14ac:dyDescent="0.25">
      <c r="A32" s="27" t="s">
        <v>132</v>
      </c>
      <c r="B32" s="309" t="s">
        <v>133</v>
      </c>
      <c r="C32" s="309"/>
      <c r="D32" s="309"/>
      <c r="E32" s="164"/>
      <c r="F32" s="165"/>
      <c r="G32" s="164"/>
      <c r="H32" s="165"/>
      <c r="I32" s="164"/>
      <c r="J32" s="165"/>
      <c r="K32" s="164"/>
      <c r="L32" s="165"/>
      <c r="M32" s="21" t="s">
        <v>143</v>
      </c>
      <c r="N32" s="19" t="s">
        <v>144</v>
      </c>
      <c r="P32" s="26"/>
    </row>
    <row r="33" spans="1:16" ht="15.75" thickBot="1" x14ac:dyDescent="0.3">
      <c r="A33" s="213">
        <v>1</v>
      </c>
      <c r="B33" s="214"/>
      <c r="C33" s="214"/>
      <c r="D33" s="214"/>
      <c r="E33" s="213">
        <v>5</v>
      </c>
      <c r="F33" s="214"/>
      <c r="G33" s="213">
        <v>3</v>
      </c>
      <c r="H33" s="214"/>
      <c r="I33" s="213">
        <v>4</v>
      </c>
      <c r="J33" s="214"/>
      <c r="K33" s="213">
        <v>5</v>
      </c>
      <c r="L33" s="214"/>
      <c r="M33" s="20">
        <v>6</v>
      </c>
      <c r="N33" s="20">
        <v>7</v>
      </c>
    </row>
    <row r="34" spans="1:16" x14ac:dyDescent="0.25">
      <c r="A34" s="74">
        <v>1</v>
      </c>
      <c r="B34" s="75" t="s">
        <v>122</v>
      </c>
      <c r="C34" s="75"/>
      <c r="D34" s="75"/>
      <c r="E34" s="310">
        <f t="shared" ref="E34" si="28">E35+E36+E37</f>
        <v>20106.560000000001</v>
      </c>
      <c r="F34" s="311"/>
      <c r="G34" s="310">
        <f t="shared" ref="G34" si="29">G35+G36+G37</f>
        <v>0</v>
      </c>
      <c r="H34" s="311"/>
      <c r="I34" s="310">
        <f t="shared" ref="I34" si="30">I35+I36+I37</f>
        <v>36410.659999999996</v>
      </c>
      <c r="J34" s="311"/>
      <c r="K34" s="310">
        <f t="shared" ref="K34" si="31">K35+K36+K37</f>
        <v>31547.11</v>
      </c>
      <c r="L34" s="311"/>
      <c r="M34" s="76">
        <f>K34/E34*100</f>
        <v>156.899588989862</v>
      </c>
      <c r="N34" s="76">
        <f>K34/I34*100</f>
        <v>86.642510737240158</v>
      </c>
    </row>
    <row r="35" spans="1:16" x14ac:dyDescent="0.25">
      <c r="A35" s="10">
        <v>11</v>
      </c>
      <c r="B35" s="33" t="s">
        <v>122</v>
      </c>
      <c r="C35" s="33"/>
      <c r="D35" s="33"/>
      <c r="E35" s="167">
        <v>19805.97</v>
      </c>
      <c r="F35" s="168"/>
      <c r="G35" s="169">
        <v>0</v>
      </c>
      <c r="H35" s="170"/>
      <c r="I35" s="169">
        <v>29305.55</v>
      </c>
      <c r="J35" s="170"/>
      <c r="K35" s="167">
        <v>29300.13</v>
      </c>
      <c r="L35" s="168"/>
      <c r="M35" s="67">
        <f>K35/E35*100</f>
        <v>147.93584964533423</v>
      </c>
      <c r="N35" s="67">
        <f>K35/I35*100</f>
        <v>99.981505209764038</v>
      </c>
    </row>
    <row r="36" spans="1:16" x14ac:dyDescent="0.25">
      <c r="A36" s="11">
        <v>12</v>
      </c>
      <c r="B36" s="4" t="s">
        <v>123</v>
      </c>
      <c r="C36" s="4"/>
      <c r="D36" s="4"/>
      <c r="E36" s="169">
        <v>300.58999999999997</v>
      </c>
      <c r="F36" s="170"/>
      <c r="G36" s="169">
        <v>0</v>
      </c>
      <c r="H36" s="170"/>
      <c r="I36" s="169">
        <v>2183.7600000000002</v>
      </c>
      <c r="J36" s="170"/>
      <c r="K36" s="169">
        <v>2246.98</v>
      </c>
      <c r="L36" s="170"/>
      <c r="M36" s="40">
        <f>K36/E36*100</f>
        <v>747.5232043647494</v>
      </c>
      <c r="N36" s="40">
        <f>K36/I36*100</f>
        <v>102.89500677730152</v>
      </c>
    </row>
    <row r="37" spans="1:16" x14ac:dyDescent="0.25">
      <c r="A37" s="11">
        <v>19</v>
      </c>
      <c r="B37" s="4" t="s">
        <v>124</v>
      </c>
      <c r="C37" s="4"/>
      <c r="D37" s="4"/>
      <c r="E37" s="169">
        <v>0</v>
      </c>
      <c r="F37" s="170"/>
      <c r="G37" s="169">
        <v>0</v>
      </c>
      <c r="H37" s="170"/>
      <c r="I37" s="169">
        <v>4921.3500000000004</v>
      </c>
      <c r="J37" s="170"/>
      <c r="K37" s="169">
        <v>0</v>
      </c>
      <c r="L37" s="170"/>
      <c r="M37" s="40" t="e">
        <f t="shared" ref="M37:M46" si="32">K37/E37*100</f>
        <v>#DIV/0!</v>
      </c>
      <c r="N37" s="40">
        <f t="shared" ref="N37:N46" si="33">K37/I37*100</f>
        <v>0</v>
      </c>
    </row>
    <row r="38" spans="1:16" x14ac:dyDescent="0.25">
      <c r="A38" s="16">
        <v>3</v>
      </c>
      <c r="B38" s="5" t="s">
        <v>180</v>
      </c>
      <c r="C38" s="5"/>
      <c r="D38" s="5"/>
      <c r="E38" s="303">
        <f t="shared" ref="E38" si="34">E39</f>
        <v>5414.77</v>
      </c>
      <c r="F38" s="304"/>
      <c r="G38" s="303">
        <f t="shared" ref="G38" si="35">G39</f>
        <v>3100</v>
      </c>
      <c r="H38" s="304"/>
      <c r="I38" s="303">
        <f t="shared" ref="I38" si="36">I39</f>
        <v>3100</v>
      </c>
      <c r="J38" s="304"/>
      <c r="K38" s="303">
        <f t="shared" ref="K38" si="37">K39</f>
        <v>462</v>
      </c>
      <c r="L38" s="304"/>
      <c r="M38" s="39">
        <f>K38/E38*100</f>
        <v>8.532218358305153</v>
      </c>
      <c r="N38" s="39">
        <f t="shared" si="33"/>
        <v>14.903225806451612</v>
      </c>
    </row>
    <row r="39" spans="1:16" x14ac:dyDescent="0.25">
      <c r="A39" s="11">
        <v>31</v>
      </c>
      <c r="B39" s="4" t="s">
        <v>125</v>
      </c>
      <c r="C39" s="4"/>
      <c r="D39" s="4"/>
      <c r="E39" s="169">
        <v>5414.77</v>
      </c>
      <c r="F39" s="170"/>
      <c r="G39" s="169">
        <v>3100</v>
      </c>
      <c r="H39" s="170"/>
      <c r="I39" s="169">
        <v>3100</v>
      </c>
      <c r="J39" s="170"/>
      <c r="K39" s="169">
        <v>462</v>
      </c>
      <c r="L39" s="170"/>
      <c r="M39" s="40">
        <f t="shared" si="32"/>
        <v>8.532218358305153</v>
      </c>
      <c r="N39" s="40">
        <f>K39/I39*100</f>
        <v>14.903225806451612</v>
      </c>
    </row>
    <row r="40" spans="1:16" x14ac:dyDescent="0.25">
      <c r="A40" s="16">
        <v>4</v>
      </c>
      <c r="B40" s="5" t="s">
        <v>120</v>
      </c>
      <c r="C40" s="5"/>
      <c r="D40" s="5"/>
      <c r="E40" s="303">
        <f t="shared" ref="E40" si="38">E41+E42+E43</f>
        <v>353183.7</v>
      </c>
      <c r="F40" s="304"/>
      <c r="G40" s="303">
        <f t="shared" ref="G40" si="39">G41+G42+G43</f>
        <v>176961.86</v>
      </c>
      <c r="H40" s="304"/>
      <c r="I40" s="303">
        <f t="shared" ref="I40" si="40">I41+I42+I43</f>
        <v>176961.86</v>
      </c>
      <c r="J40" s="304"/>
      <c r="K40" s="303">
        <f t="shared" ref="K40" si="41">K41+K42+K43</f>
        <v>170439.74</v>
      </c>
      <c r="L40" s="304"/>
      <c r="M40" s="39">
        <f t="shared" si="32"/>
        <v>48.258099113860574</v>
      </c>
      <c r="N40" s="39">
        <f t="shared" si="33"/>
        <v>96.314392265090348</v>
      </c>
    </row>
    <row r="41" spans="1:16" x14ac:dyDescent="0.25">
      <c r="A41" s="11">
        <v>41</v>
      </c>
      <c r="B41" s="4" t="s">
        <v>120</v>
      </c>
      <c r="C41" s="4"/>
      <c r="D41" s="4"/>
      <c r="E41" s="169">
        <v>0</v>
      </c>
      <c r="F41" s="170"/>
      <c r="G41" s="169">
        <v>600</v>
      </c>
      <c r="H41" s="170"/>
      <c r="I41" s="169">
        <v>600</v>
      </c>
      <c r="J41" s="170"/>
      <c r="K41" s="169">
        <v>0</v>
      </c>
      <c r="L41" s="170"/>
      <c r="M41" s="40" t="e">
        <f t="shared" si="32"/>
        <v>#DIV/0!</v>
      </c>
      <c r="N41" s="40">
        <f t="shared" si="33"/>
        <v>0</v>
      </c>
    </row>
    <row r="42" spans="1:16" x14ac:dyDescent="0.25">
      <c r="A42" s="11">
        <v>42</v>
      </c>
      <c r="B42" s="4" t="s">
        <v>126</v>
      </c>
      <c r="C42" s="4"/>
      <c r="D42" s="4"/>
      <c r="E42" s="305">
        <v>27926.67</v>
      </c>
      <c r="F42" s="306"/>
      <c r="G42" s="169">
        <v>15497.11</v>
      </c>
      <c r="H42" s="170"/>
      <c r="I42" s="169">
        <v>15497.11</v>
      </c>
      <c r="J42" s="170"/>
      <c r="K42" s="305">
        <v>9574.99</v>
      </c>
      <c r="L42" s="306"/>
      <c r="M42" s="40">
        <f t="shared" si="32"/>
        <v>34.286185929077831</v>
      </c>
      <c r="N42" s="40">
        <f t="shared" si="33"/>
        <v>61.785649066180724</v>
      </c>
      <c r="P42" s="26"/>
    </row>
    <row r="43" spans="1:16" x14ac:dyDescent="0.25">
      <c r="A43" s="11">
        <v>45</v>
      </c>
      <c r="B43" s="4" t="s">
        <v>127</v>
      </c>
      <c r="C43" s="4"/>
      <c r="D43" s="4"/>
      <c r="E43" s="169">
        <v>325257.03000000003</v>
      </c>
      <c r="F43" s="170"/>
      <c r="G43" s="169">
        <v>160864.75</v>
      </c>
      <c r="H43" s="170"/>
      <c r="I43" s="169">
        <v>160864.75</v>
      </c>
      <c r="J43" s="170"/>
      <c r="K43" s="169">
        <v>160864.75</v>
      </c>
      <c r="L43" s="170"/>
      <c r="M43" s="40">
        <f t="shared" si="32"/>
        <v>49.457731935878527</v>
      </c>
      <c r="N43" s="40">
        <f t="shared" si="33"/>
        <v>100</v>
      </c>
    </row>
    <row r="44" spans="1:16" x14ac:dyDescent="0.25">
      <c r="A44" s="16">
        <v>5</v>
      </c>
      <c r="B44" s="5" t="s">
        <v>181</v>
      </c>
      <c r="C44" s="5"/>
      <c r="D44" s="5"/>
      <c r="E44" s="303">
        <f>E45+E46</f>
        <v>1649180.7799999998</v>
      </c>
      <c r="F44" s="304"/>
      <c r="G44" s="303">
        <f t="shared" ref="G44" si="42">G45+G46</f>
        <v>2019936</v>
      </c>
      <c r="H44" s="304"/>
      <c r="I44" s="303">
        <f t="shared" ref="I44" si="43">I45+I46</f>
        <v>2027432.6199999999</v>
      </c>
      <c r="J44" s="304"/>
      <c r="K44" s="303">
        <f t="shared" ref="K44" si="44">K45+K46</f>
        <v>2001871.8</v>
      </c>
      <c r="L44" s="304"/>
      <c r="M44" s="39">
        <f t="shared" si="32"/>
        <v>121.38583133378502</v>
      </c>
      <c r="N44" s="39">
        <f t="shared" si="33"/>
        <v>98.739251812965307</v>
      </c>
    </row>
    <row r="45" spans="1:16" x14ac:dyDescent="0.25">
      <c r="A45" s="11">
        <v>51</v>
      </c>
      <c r="B45" s="4" t="s">
        <v>128</v>
      </c>
      <c r="C45" s="4"/>
      <c r="D45" s="4"/>
      <c r="E45" s="169">
        <v>1639690.4</v>
      </c>
      <c r="F45" s="170"/>
      <c r="G45" s="169">
        <f>21730+1991700+1000</f>
        <v>2014430</v>
      </c>
      <c r="H45" s="170"/>
      <c r="I45" s="169">
        <v>2016505.47</v>
      </c>
      <c r="J45" s="170"/>
      <c r="K45" s="169">
        <f>1810611.16+186825.55</f>
        <v>1997436.71</v>
      </c>
      <c r="L45" s="170"/>
      <c r="M45" s="40">
        <f t="shared" si="32"/>
        <v>121.81791818748222</v>
      </c>
      <c r="N45" s="40">
        <f t="shared" si="33"/>
        <v>99.054366066262148</v>
      </c>
    </row>
    <row r="46" spans="1:16" ht="15.75" thickBot="1" x14ac:dyDescent="0.3">
      <c r="A46" s="11">
        <v>54</v>
      </c>
      <c r="B46" s="4" t="s">
        <v>129</v>
      </c>
      <c r="C46" s="4"/>
      <c r="D46" s="4"/>
      <c r="E46" s="169">
        <v>9490.3799999999992</v>
      </c>
      <c r="F46" s="170"/>
      <c r="G46" s="169">
        <v>5506</v>
      </c>
      <c r="H46" s="170"/>
      <c r="I46" s="169">
        <v>10927.15</v>
      </c>
      <c r="J46" s="170"/>
      <c r="K46" s="169">
        <v>4435.09</v>
      </c>
      <c r="L46" s="170"/>
      <c r="M46" s="40">
        <f t="shared" si="32"/>
        <v>46.732480680436403</v>
      </c>
      <c r="N46" s="40">
        <f t="shared" si="33"/>
        <v>40.587801942867081</v>
      </c>
    </row>
    <row r="47" spans="1:16" ht="15.75" thickBot="1" x14ac:dyDescent="0.3">
      <c r="A47" s="302" t="s">
        <v>121</v>
      </c>
      <c r="B47" s="302"/>
      <c r="C47" s="302"/>
      <c r="D47" s="302"/>
      <c r="E47" s="297">
        <f>SUM(E34+E38+E40+E44)</f>
        <v>2027885.8099999998</v>
      </c>
      <c r="F47" s="301"/>
      <c r="G47" s="297">
        <f t="shared" ref="G47" si="45">SUM(G34+G38+G40+G44)</f>
        <v>2199997.86</v>
      </c>
      <c r="H47" s="298"/>
      <c r="I47" s="297">
        <f t="shared" ref="I47" si="46">SUM(I34+I38+I40+I44)</f>
        <v>2243905.1399999997</v>
      </c>
      <c r="J47" s="301"/>
      <c r="K47" s="297">
        <f t="shared" ref="K47" si="47">SUM(K34+K38+K40+K44)</f>
        <v>2204320.65</v>
      </c>
      <c r="L47" s="301"/>
      <c r="M47" s="46">
        <f t="shared" ref="M47" si="48">K47/E47*100</f>
        <v>108.7004326934957</v>
      </c>
      <c r="N47" s="46">
        <f t="shared" ref="N47" si="49">K47/I47*100</f>
        <v>98.235910721252694</v>
      </c>
      <c r="P47" s="26"/>
    </row>
    <row r="48" spans="1:16" x14ac:dyDescent="0.25">
      <c r="E48" s="87"/>
      <c r="F48" s="87"/>
      <c r="G48" s="87"/>
      <c r="H48" s="87"/>
    </row>
  </sheetData>
  <customSheetViews>
    <customSheetView guid="{005C429F-8448-44DF-83AD-8A930973E873}" topLeftCell="A4">
      <selection activeCell="O19" sqref="O19"/>
      <pageMargins left="0.7" right="0.7" top="0.75" bottom="0.75" header="0.3" footer="0.3"/>
      <pageSetup paperSize="9" scale="82" orientation="portrait" r:id="rId1"/>
    </customSheetView>
  </customSheetViews>
  <mergeCells count="147">
    <mergeCell ref="I21:J21"/>
    <mergeCell ref="K21:L21"/>
    <mergeCell ref="I16:J16"/>
    <mergeCell ref="K16:L16"/>
    <mergeCell ref="I18:J18"/>
    <mergeCell ref="E17:F17"/>
    <mergeCell ref="G21:H21"/>
    <mergeCell ref="E21:F21"/>
    <mergeCell ref="G20:H20"/>
    <mergeCell ref="G17:H17"/>
    <mergeCell ref="I17:J17"/>
    <mergeCell ref="K17:L17"/>
    <mergeCell ref="E19:F19"/>
    <mergeCell ref="G19:H19"/>
    <mergeCell ref="I19:J19"/>
    <mergeCell ref="K19:L19"/>
    <mergeCell ref="K18:L18"/>
    <mergeCell ref="I20:J20"/>
    <mergeCell ref="K20:L20"/>
    <mergeCell ref="G16:H16"/>
    <mergeCell ref="G18:H18"/>
    <mergeCell ref="E16:F16"/>
    <mergeCell ref="E18:F18"/>
    <mergeCell ref="E20:F20"/>
    <mergeCell ref="A7:N7"/>
    <mergeCell ref="A12:D12"/>
    <mergeCell ref="E12:F12"/>
    <mergeCell ref="I12:J12"/>
    <mergeCell ref="K12:L12"/>
    <mergeCell ref="A10:D10"/>
    <mergeCell ref="B11:D11"/>
    <mergeCell ref="E14:F14"/>
    <mergeCell ref="E15:F15"/>
    <mergeCell ref="G10:H11"/>
    <mergeCell ref="E10:F11"/>
    <mergeCell ref="I10:J11"/>
    <mergeCell ref="K10:L11"/>
    <mergeCell ref="G12:H12"/>
    <mergeCell ref="K14:L14"/>
    <mergeCell ref="I15:J15"/>
    <mergeCell ref="E13:F13"/>
    <mergeCell ref="G13:H13"/>
    <mergeCell ref="I13:J13"/>
    <mergeCell ref="K13:L13"/>
    <mergeCell ref="G14:H14"/>
    <mergeCell ref="G15:H15"/>
    <mergeCell ref="K15:L15"/>
    <mergeCell ref="I14:J14"/>
    <mergeCell ref="K34:L34"/>
    <mergeCell ref="I27:J27"/>
    <mergeCell ref="K27:L27"/>
    <mergeCell ref="A28:D28"/>
    <mergeCell ref="E22:F22"/>
    <mergeCell ref="E24:F24"/>
    <mergeCell ref="E25:F25"/>
    <mergeCell ref="E27:F27"/>
    <mergeCell ref="G22:H22"/>
    <mergeCell ref="G24:H24"/>
    <mergeCell ref="I24:J24"/>
    <mergeCell ref="K24:L24"/>
    <mergeCell ref="I22:J22"/>
    <mergeCell ref="E26:F26"/>
    <mergeCell ref="G26:H26"/>
    <mergeCell ref="I26:J26"/>
    <mergeCell ref="K26:L26"/>
    <mergeCell ref="I25:J25"/>
    <mergeCell ref="K25:L25"/>
    <mergeCell ref="E23:F23"/>
    <mergeCell ref="G23:H23"/>
    <mergeCell ref="I23:J23"/>
    <mergeCell ref="K23:L23"/>
    <mergeCell ref="K22:L22"/>
    <mergeCell ref="E40:F40"/>
    <mergeCell ref="G40:H40"/>
    <mergeCell ref="I40:J40"/>
    <mergeCell ref="K40:L40"/>
    <mergeCell ref="A31:D31"/>
    <mergeCell ref="E31:F32"/>
    <mergeCell ref="I31:J32"/>
    <mergeCell ref="K31:L32"/>
    <mergeCell ref="B32:D32"/>
    <mergeCell ref="E35:F35"/>
    <mergeCell ref="I35:J35"/>
    <mergeCell ref="K35:L35"/>
    <mergeCell ref="E36:F36"/>
    <mergeCell ref="I36:J36"/>
    <mergeCell ref="K36:L36"/>
    <mergeCell ref="G35:H35"/>
    <mergeCell ref="G36:H36"/>
    <mergeCell ref="A33:D33"/>
    <mergeCell ref="E33:F33"/>
    <mergeCell ref="I33:J33"/>
    <mergeCell ref="K33:L33"/>
    <mergeCell ref="E34:F34"/>
    <mergeCell ref="G34:H34"/>
    <mergeCell ref="I34:J34"/>
    <mergeCell ref="E37:F37"/>
    <mergeCell ref="I37:J37"/>
    <mergeCell ref="K37:L37"/>
    <mergeCell ref="E39:F39"/>
    <mergeCell ref="I39:J39"/>
    <mergeCell ref="K39:L39"/>
    <mergeCell ref="G37:H37"/>
    <mergeCell ref="G39:H39"/>
    <mergeCell ref="E38:F38"/>
    <mergeCell ref="G38:H38"/>
    <mergeCell ref="I38:J38"/>
    <mergeCell ref="K38:L38"/>
    <mergeCell ref="K45:L45"/>
    <mergeCell ref="G43:H43"/>
    <mergeCell ref="G45:H45"/>
    <mergeCell ref="E44:F44"/>
    <mergeCell ref="G44:H44"/>
    <mergeCell ref="I44:J44"/>
    <mergeCell ref="K44:L44"/>
    <mergeCell ref="E41:F41"/>
    <mergeCell ref="I41:J41"/>
    <mergeCell ref="K41:L41"/>
    <mergeCell ref="E42:F42"/>
    <mergeCell ref="I42:J42"/>
    <mergeCell ref="K42:L42"/>
    <mergeCell ref="G41:H41"/>
    <mergeCell ref="G42:H42"/>
    <mergeCell ref="A5:N5"/>
    <mergeCell ref="A6:N6"/>
    <mergeCell ref="G46:H46"/>
    <mergeCell ref="G47:H47"/>
    <mergeCell ref="G25:H25"/>
    <mergeCell ref="G27:H27"/>
    <mergeCell ref="G28:H28"/>
    <mergeCell ref="G31:H32"/>
    <mergeCell ref="G33:H33"/>
    <mergeCell ref="A47:D47"/>
    <mergeCell ref="E28:F28"/>
    <mergeCell ref="I28:J28"/>
    <mergeCell ref="K28:L28"/>
    <mergeCell ref="E47:F47"/>
    <mergeCell ref="I47:J47"/>
    <mergeCell ref="K47:L47"/>
    <mergeCell ref="I46:J46"/>
    <mergeCell ref="E46:F46"/>
    <mergeCell ref="K46:L46"/>
    <mergeCell ref="E43:F43"/>
    <mergeCell ref="I43:J43"/>
    <mergeCell ref="K43:L43"/>
    <mergeCell ref="E45:F45"/>
    <mergeCell ref="I45:J45"/>
  </mergeCells>
  <pageMargins left="0.7" right="0.7" top="0.75" bottom="0.75" header="0.3" footer="0.3"/>
  <pageSetup paperSize="9" scale="65" orientation="portrait" r:id="rId2"/>
  <ignoredErrors>
    <ignoredError sqref="M27:N27 M15:N15 M16 N28 M18:N18 M20:N22 M24:N24 M36:N37 M39 M41:N43 M45:N45 M25:N25 M46:N46 N26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zoomScaleNormal="100" workbookViewId="0"/>
  </sheetViews>
  <sheetFormatPr defaultRowHeight="15" x14ac:dyDescent="0.25"/>
  <cols>
    <col min="4" max="6" width="9.140625" customWidth="1"/>
  </cols>
  <sheetData>
    <row r="1" spans="1:16" x14ac:dyDescent="0.25">
      <c r="A1" s="1" t="s">
        <v>14</v>
      </c>
    </row>
    <row r="2" spans="1:16" x14ac:dyDescent="0.25">
      <c r="A2" t="s">
        <v>12</v>
      </c>
    </row>
    <row r="3" spans="1:16" x14ac:dyDescent="0.25">
      <c r="A3" t="s">
        <v>13</v>
      </c>
    </row>
    <row r="5" spans="1:16" x14ac:dyDescent="0.25">
      <c r="A5" s="196" t="s">
        <v>0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</row>
    <row r="6" spans="1:16" x14ac:dyDescent="0.25">
      <c r="A6" s="196" t="s">
        <v>172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</row>
    <row r="7" spans="1:16" x14ac:dyDescent="0.25">
      <c r="A7" s="196" t="s">
        <v>175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</row>
    <row r="8" spans="1:16" ht="15.75" thickBot="1" x14ac:dyDescent="0.3"/>
    <row r="9" spans="1:16" ht="15" customHeight="1" x14ac:dyDescent="0.25">
      <c r="A9" s="312" t="s">
        <v>183</v>
      </c>
      <c r="B9" s="313"/>
      <c r="C9" s="313"/>
      <c r="D9" s="313"/>
      <c r="E9" s="313"/>
      <c r="F9" s="314"/>
      <c r="G9" s="162" t="s">
        <v>147</v>
      </c>
      <c r="H9" s="163"/>
      <c r="I9" s="162" t="s">
        <v>221</v>
      </c>
      <c r="J9" s="163"/>
      <c r="K9" s="162" t="s">
        <v>222</v>
      </c>
      <c r="L9" s="163"/>
      <c r="M9" s="162" t="s">
        <v>223</v>
      </c>
      <c r="N9" s="163"/>
      <c r="O9" s="18" t="s">
        <v>40</v>
      </c>
      <c r="P9" s="18" t="s">
        <v>40</v>
      </c>
    </row>
    <row r="10" spans="1:16" x14ac:dyDescent="0.25">
      <c r="A10" s="315"/>
      <c r="B10" s="316"/>
      <c r="C10" s="316"/>
      <c r="D10" s="316"/>
      <c r="E10" s="316"/>
      <c r="F10" s="317"/>
      <c r="G10" s="164"/>
      <c r="H10" s="165"/>
      <c r="I10" s="164"/>
      <c r="J10" s="165"/>
      <c r="K10" s="164"/>
      <c r="L10" s="165"/>
      <c r="M10" s="164"/>
      <c r="N10" s="165"/>
      <c r="O10" s="21" t="s">
        <v>143</v>
      </c>
      <c r="P10" s="19" t="s">
        <v>145</v>
      </c>
    </row>
    <row r="11" spans="1:16" ht="15.75" thickBot="1" x14ac:dyDescent="0.3">
      <c r="A11" s="213">
        <v>1</v>
      </c>
      <c r="B11" s="214"/>
      <c r="C11" s="214"/>
      <c r="D11" s="214"/>
      <c r="E11" s="214"/>
      <c r="F11" s="215"/>
      <c r="G11" s="213">
        <v>2</v>
      </c>
      <c r="H11" s="214"/>
      <c r="I11" s="213">
        <v>3</v>
      </c>
      <c r="J11" s="214"/>
      <c r="K11" s="213">
        <v>4</v>
      </c>
      <c r="L11" s="214"/>
      <c r="M11" s="213">
        <v>5</v>
      </c>
      <c r="N11" s="214"/>
      <c r="O11" s="20">
        <v>6</v>
      </c>
      <c r="P11" s="20">
        <v>7</v>
      </c>
    </row>
    <row r="12" spans="1:16" ht="15" customHeight="1" x14ac:dyDescent="0.25">
      <c r="A12" s="63" t="s">
        <v>162</v>
      </c>
      <c r="B12" s="64" t="s">
        <v>163</v>
      </c>
      <c r="C12" s="56"/>
      <c r="D12" s="56"/>
      <c r="E12" s="56"/>
      <c r="F12" s="57"/>
      <c r="G12" s="243">
        <f>G13+G15</f>
        <v>2027885.81</v>
      </c>
      <c r="H12" s="244"/>
      <c r="I12" s="243">
        <f>I13+I15</f>
        <v>2199997.86</v>
      </c>
      <c r="J12" s="244"/>
      <c r="K12" s="243">
        <f t="shared" ref="K12" si="0">K13+K15</f>
        <v>2243905.14</v>
      </c>
      <c r="L12" s="244"/>
      <c r="M12" s="243">
        <f t="shared" ref="M12" si="1">M13+M15</f>
        <v>2204320.65</v>
      </c>
      <c r="N12" s="244"/>
      <c r="O12" s="45">
        <f>(M12/G12)*100</f>
        <v>108.7004326934957</v>
      </c>
      <c r="P12" s="45">
        <f>M12/K12*100</f>
        <v>98.235910721252679</v>
      </c>
    </row>
    <row r="13" spans="1:16" ht="15" customHeight="1" x14ac:dyDescent="0.25">
      <c r="A13" s="154" t="s">
        <v>165</v>
      </c>
      <c r="B13" s="5" t="s">
        <v>164</v>
      </c>
      <c r="C13" s="100"/>
      <c r="D13" s="100"/>
      <c r="E13" s="100"/>
      <c r="F13" s="101"/>
      <c r="G13" s="237">
        <f>G14</f>
        <v>2027885.81</v>
      </c>
      <c r="H13" s="238"/>
      <c r="I13" s="237">
        <f t="shared" ref="I13" si="2">I14</f>
        <v>2179997.86</v>
      </c>
      <c r="J13" s="238"/>
      <c r="K13" s="237">
        <f t="shared" ref="K13" si="3">K14</f>
        <v>2223905.14</v>
      </c>
      <c r="L13" s="238"/>
      <c r="M13" s="237">
        <f t="shared" ref="M13" si="4">M14</f>
        <v>2187944.19</v>
      </c>
      <c r="N13" s="238"/>
      <c r="O13" s="102">
        <f>M13/G13*100</f>
        <v>107.89286947079135</v>
      </c>
      <c r="P13" s="102">
        <f>M13/K13*100</f>
        <v>98.382981838874656</v>
      </c>
    </row>
    <row r="14" spans="1:16" s="87" customFormat="1" ht="15" customHeight="1" x14ac:dyDescent="0.25">
      <c r="A14" s="151" t="s">
        <v>166</v>
      </c>
      <c r="B14" s="7" t="s">
        <v>167</v>
      </c>
      <c r="C14" s="152"/>
      <c r="D14" s="152"/>
      <c r="E14" s="152"/>
      <c r="F14" s="153"/>
      <c r="G14" s="249">
        <f>2027885.81-G15</f>
        <v>2027885.81</v>
      </c>
      <c r="H14" s="250"/>
      <c r="I14" s="249">
        <f>2199997.86-I15</f>
        <v>2179997.86</v>
      </c>
      <c r="J14" s="250"/>
      <c r="K14" s="249">
        <f>2243905.14-K15</f>
        <v>2223905.14</v>
      </c>
      <c r="L14" s="250"/>
      <c r="M14" s="249">
        <f>2204320.65-M15</f>
        <v>2187944.19</v>
      </c>
      <c r="N14" s="250"/>
      <c r="O14" s="65">
        <f>M14/G14*100</f>
        <v>107.89286947079135</v>
      </c>
      <c r="P14" s="65">
        <f>M14/K14*100</f>
        <v>98.382981838874656</v>
      </c>
    </row>
    <row r="15" spans="1:16" x14ac:dyDescent="0.25">
      <c r="A15" s="154" t="s">
        <v>241</v>
      </c>
      <c r="B15" s="5" t="s">
        <v>243</v>
      </c>
      <c r="C15" s="106"/>
      <c r="D15" s="106"/>
      <c r="E15" s="106"/>
      <c r="F15" s="107"/>
      <c r="G15" s="237">
        <f>G16</f>
        <v>0</v>
      </c>
      <c r="H15" s="238"/>
      <c r="I15" s="237">
        <f t="shared" ref="I15" si="5">I16</f>
        <v>20000</v>
      </c>
      <c r="J15" s="238"/>
      <c r="K15" s="237">
        <f t="shared" ref="K15" si="6">K16</f>
        <v>20000</v>
      </c>
      <c r="L15" s="238"/>
      <c r="M15" s="237">
        <f t="shared" ref="M15" si="7">M16</f>
        <v>16376.46</v>
      </c>
      <c r="N15" s="238"/>
      <c r="O15" s="102" t="e">
        <f>M15/G15*100</f>
        <v>#DIV/0!</v>
      </c>
      <c r="P15" s="102">
        <f>M15/K15*100</f>
        <v>81.882300000000001</v>
      </c>
    </row>
    <row r="16" spans="1:16" ht="15.75" thickBot="1" x14ac:dyDescent="0.3">
      <c r="A16" s="155" t="s">
        <v>242</v>
      </c>
      <c r="B16" s="156" t="s">
        <v>243</v>
      </c>
      <c r="C16" s="157"/>
      <c r="D16" s="157"/>
      <c r="E16" s="157"/>
      <c r="F16" s="158"/>
      <c r="G16" s="318">
        <v>0</v>
      </c>
      <c r="H16" s="319"/>
      <c r="I16" s="318">
        <v>20000</v>
      </c>
      <c r="J16" s="319"/>
      <c r="K16" s="318">
        <v>20000</v>
      </c>
      <c r="L16" s="319"/>
      <c r="M16" s="318">
        <v>16376.46</v>
      </c>
      <c r="N16" s="319"/>
      <c r="O16" s="159" t="e">
        <f>M16/G16*100</f>
        <v>#DIV/0!</v>
      </c>
      <c r="P16" s="159">
        <f>M16/K16*100</f>
        <v>81.882300000000001</v>
      </c>
    </row>
  </sheetData>
  <mergeCells count="33">
    <mergeCell ref="G16:H16"/>
    <mergeCell ref="I16:J16"/>
    <mergeCell ref="K16:L16"/>
    <mergeCell ref="M16:N16"/>
    <mergeCell ref="G13:H13"/>
    <mergeCell ref="I13:J13"/>
    <mergeCell ref="K13:L13"/>
    <mergeCell ref="M13:N13"/>
    <mergeCell ref="G15:H15"/>
    <mergeCell ref="I15:J15"/>
    <mergeCell ref="K15:L15"/>
    <mergeCell ref="M15:N15"/>
    <mergeCell ref="G14:H14"/>
    <mergeCell ref="I14:J14"/>
    <mergeCell ref="K14:L14"/>
    <mergeCell ref="M14:N14"/>
    <mergeCell ref="G12:H12"/>
    <mergeCell ref="I12:J12"/>
    <mergeCell ref="K12:L12"/>
    <mergeCell ref="M12:N12"/>
    <mergeCell ref="A11:F11"/>
    <mergeCell ref="G11:H11"/>
    <mergeCell ref="I11:J11"/>
    <mergeCell ref="K11:L11"/>
    <mergeCell ref="M11:N11"/>
    <mergeCell ref="A5:P5"/>
    <mergeCell ref="A6:P6"/>
    <mergeCell ref="A7:P7"/>
    <mergeCell ref="A9:F10"/>
    <mergeCell ref="G9:H10"/>
    <mergeCell ref="I9:J10"/>
    <mergeCell ref="K9:L10"/>
    <mergeCell ref="M9:N10"/>
  </mergeCells>
  <pageMargins left="0.7" right="0.7" top="0.75" bottom="0.75" header="0.3" footer="0.3"/>
  <pageSetup paperSize="9" scale="61" orientation="portrait" horizontalDpi="300" verticalDpi="300" r:id="rId1"/>
  <ignoredErrors>
    <ignoredError sqref="O12:P13 O15:P16" evalError="1"/>
    <ignoredError sqref="A12:A16" numberStoredAsText="1"/>
    <ignoredError sqref="G14:N1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1"/>
  <sheetViews>
    <sheetView zoomScaleNormal="100" workbookViewId="0"/>
  </sheetViews>
  <sheetFormatPr defaultRowHeight="15" x14ac:dyDescent="0.25"/>
  <cols>
    <col min="1" max="6" width="9.7109375" customWidth="1"/>
    <col min="7" max="15" width="8.85546875" customWidth="1"/>
  </cols>
  <sheetData>
    <row r="1" spans="1:13" x14ac:dyDescent="0.25">
      <c r="A1" s="1" t="s">
        <v>14</v>
      </c>
    </row>
    <row r="2" spans="1:13" x14ac:dyDescent="0.25">
      <c r="A2" t="s">
        <v>12</v>
      </c>
    </row>
    <row r="3" spans="1:13" x14ac:dyDescent="0.25">
      <c r="A3" t="s">
        <v>13</v>
      </c>
    </row>
    <row r="5" spans="1:13" x14ac:dyDescent="0.25">
      <c r="A5" s="196" t="s">
        <v>176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</row>
    <row r="7" spans="1:13" ht="15" customHeight="1" x14ac:dyDescent="0.25">
      <c r="A7" s="372" t="s">
        <v>177</v>
      </c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</row>
    <row r="8" spans="1:13" ht="15.75" thickBot="1" x14ac:dyDescent="0.3"/>
    <row r="9" spans="1:13" ht="15" customHeight="1" x14ac:dyDescent="0.25">
      <c r="A9" s="312" t="s">
        <v>161</v>
      </c>
      <c r="B9" s="313"/>
      <c r="C9" s="313"/>
      <c r="D9" s="313"/>
      <c r="E9" s="313"/>
      <c r="F9" s="313"/>
      <c r="G9" s="312" t="s">
        <v>221</v>
      </c>
      <c r="H9" s="313"/>
      <c r="I9" s="312" t="s">
        <v>222</v>
      </c>
      <c r="J9" s="313"/>
      <c r="K9" s="160" t="s">
        <v>223</v>
      </c>
      <c r="L9" s="160"/>
      <c r="M9" s="18" t="s">
        <v>40</v>
      </c>
    </row>
    <row r="10" spans="1:13" x14ac:dyDescent="0.25">
      <c r="A10" s="315"/>
      <c r="B10" s="316"/>
      <c r="C10" s="316"/>
      <c r="D10" s="316"/>
      <c r="E10" s="316"/>
      <c r="F10" s="316"/>
      <c r="G10" s="315"/>
      <c r="H10" s="316"/>
      <c r="I10" s="315"/>
      <c r="J10" s="316"/>
      <c r="K10" s="161"/>
      <c r="L10" s="161"/>
      <c r="M10" s="19" t="s">
        <v>168</v>
      </c>
    </row>
    <row r="11" spans="1:13" ht="15.75" thickBot="1" x14ac:dyDescent="0.3">
      <c r="A11" s="213">
        <v>1</v>
      </c>
      <c r="B11" s="214"/>
      <c r="C11" s="214"/>
      <c r="D11" s="214"/>
      <c r="E11" s="214"/>
      <c r="F11" s="215"/>
      <c r="G11" s="213">
        <v>2</v>
      </c>
      <c r="H11" s="214"/>
      <c r="I11" s="213">
        <v>3</v>
      </c>
      <c r="J11" s="214"/>
      <c r="K11" s="213">
        <v>4</v>
      </c>
      <c r="L11" s="214"/>
      <c r="M11" s="20">
        <v>5</v>
      </c>
    </row>
    <row r="12" spans="1:13" ht="15.75" thickBot="1" x14ac:dyDescent="0.3">
      <c r="A12" s="78">
        <v>19773</v>
      </c>
      <c r="B12" s="72" t="s">
        <v>179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3"/>
    </row>
    <row r="13" spans="1:13" x14ac:dyDescent="0.25">
      <c r="A13" s="10"/>
      <c r="B13" s="338" t="s">
        <v>186</v>
      </c>
      <c r="C13" s="338"/>
      <c r="D13" s="338"/>
      <c r="E13" s="338"/>
      <c r="F13" s="339"/>
      <c r="G13" s="379">
        <f>SUM(G14:H17)</f>
        <v>2199997.86</v>
      </c>
      <c r="H13" s="380"/>
      <c r="I13" s="379">
        <f>SUM(I14:J17)</f>
        <v>2243905.1399999997</v>
      </c>
      <c r="J13" s="380"/>
      <c r="K13" s="379">
        <f>SUM(K14:L17)</f>
        <v>2204320.65</v>
      </c>
      <c r="L13" s="380"/>
      <c r="M13" s="80">
        <f>K13/I13*100</f>
        <v>98.235910721252694</v>
      </c>
    </row>
    <row r="14" spans="1:13" x14ac:dyDescent="0.25">
      <c r="A14" s="13">
        <v>1</v>
      </c>
      <c r="B14" s="7" t="s">
        <v>122</v>
      </c>
      <c r="C14" s="7"/>
      <c r="D14" s="7"/>
      <c r="E14" s="7"/>
      <c r="F14" s="14"/>
      <c r="G14" s="340">
        <v>0</v>
      </c>
      <c r="H14" s="341"/>
      <c r="I14" s="340">
        <f>29305.55+2183.76+4921.35</f>
        <v>36410.659999999996</v>
      </c>
      <c r="J14" s="341"/>
      <c r="K14" s="340">
        <f>29300.13+2246.98</f>
        <v>31547.11</v>
      </c>
      <c r="L14" s="341"/>
      <c r="M14" s="79">
        <f>K14/I14*100</f>
        <v>86.642510737240158</v>
      </c>
    </row>
    <row r="15" spans="1:13" x14ac:dyDescent="0.25">
      <c r="A15" s="13">
        <v>3</v>
      </c>
      <c r="B15" s="7" t="s">
        <v>187</v>
      </c>
      <c r="C15" s="7"/>
      <c r="D15" s="7"/>
      <c r="E15" s="7"/>
      <c r="F15" s="14"/>
      <c r="G15" s="303">
        <v>3100</v>
      </c>
      <c r="H15" s="304"/>
      <c r="I15" s="340">
        <v>3100</v>
      </c>
      <c r="J15" s="341"/>
      <c r="K15" s="340">
        <v>462</v>
      </c>
      <c r="L15" s="341"/>
      <c r="M15" s="79">
        <f t="shared" ref="M15:M17" si="0">K15/I15*100</f>
        <v>14.903225806451612</v>
      </c>
    </row>
    <row r="16" spans="1:13" x14ac:dyDescent="0.25">
      <c r="A16" s="13">
        <v>4</v>
      </c>
      <c r="B16" s="7" t="s">
        <v>188</v>
      </c>
      <c r="C16" s="7"/>
      <c r="D16" s="7"/>
      <c r="E16" s="7"/>
      <c r="F16" s="14"/>
      <c r="G16" s="303">
        <v>176961.86</v>
      </c>
      <c r="H16" s="304"/>
      <c r="I16" s="340">
        <f>600+15497.11+160864.75</f>
        <v>176961.86</v>
      </c>
      <c r="J16" s="341"/>
      <c r="K16" s="340">
        <f>9574.99+160864.75</f>
        <v>170439.74</v>
      </c>
      <c r="L16" s="341"/>
      <c r="M16" s="79">
        <f t="shared" si="0"/>
        <v>96.314392265090348</v>
      </c>
    </row>
    <row r="17" spans="1:15" ht="15.75" thickBot="1" x14ac:dyDescent="0.3">
      <c r="A17" s="13">
        <v>5</v>
      </c>
      <c r="B17" s="7" t="s">
        <v>181</v>
      </c>
      <c r="C17" s="7"/>
      <c r="D17" s="7"/>
      <c r="E17" s="7"/>
      <c r="F17" s="14"/>
      <c r="G17" s="303">
        <v>2019936</v>
      </c>
      <c r="H17" s="304"/>
      <c r="I17" s="340">
        <f>2016505.47+10927.15</f>
        <v>2027432.6199999999</v>
      </c>
      <c r="J17" s="341"/>
      <c r="K17" s="342">
        <f>1426.5+888.41+3546.68+83.36+339.68+794.81+1201.18+336.32+16376.46+1976878.4</f>
        <v>2001871.7999999998</v>
      </c>
      <c r="L17" s="343"/>
      <c r="M17" s="79">
        <f t="shared" si="0"/>
        <v>98.739251812965307</v>
      </c>
    </row>
    <row r="18" spans="1:15" x14ac:dyDescent="0.25">
      <c r="A18" s="376" t="s">
        <v>15</v>
      </c>
      <c r="B18" s="377"/>
      <c r="C18" s="377"/>
      <c r="D18" s="377"/>
      <c r="E18" s="377"/>
      <c r="F18" s="378"/>
      <c r="G18" s="351">
        <f>G19+G54+G111+G120</f>
        <v>2199997.86</v>
      </c>
      <c r="H18" s="351"/>
      <c r="I18" s="351">
        <f t="shared" ref="I18" si="1">I19+I54+I111+I120</f>
        <v>2243905.1399999997</v>
      </c>
      <c r="J18" s="351"/>
      <c r="K18" s="351">
        <f t="shared" ref="K18" si="2">K19+K54+K111+K120</f>
        <v>2204320.6499999994</v>
      </c>
      <c r="L18" s="351"/>
      <c r="M18" s="42">
        <f t="shared" ref="M18:M19" si="3">K18/I18*100</f>
        <v>98.235910721252679</v>
      </c>
    </row>
    <row r="19" spans="1:15" x14ac:dyDescent="0.25">
      <c r="A19" s="373" t="s">
        <v>99</v>
      </c>
      <c r="B19" s="374"/>
      <c r="C19" s="374"/>
      <c r="D19" s="374"/>
      <c r="E19" s="374"/>
      <c r="F19" s="375"/>
      <c r="G19" s="352">
        <f>G20+G46</f>
        <v>2152564.75</v>
      </c>
      <c r="H19" s="353"/>
      <c r="I19" s="352">
        <f t="shared" ref="I19" si="4">I20+I46</f>
        <v>2152564.75</v>
      </c>
      <c r="J19" s="353"/>
      <c r="K19" s="352">
        <f t="shared" ref="K19" si="5">K20+K46</f>
        <v>2137743.1499999994</v>
      </c>
      <c r="L19" s="353"/>
      <c r="M19" s="43">
        <f t="shared" si="3"/>
        <v>99.311444638308771</v>
      </c>
    </row>
    <row r="20" spans="1:15" x14ac:dyDescent="0.25">
      <c r="A20" s="324" t="s">
        <v>16</v>
      </c>
      <c r="B20" s="325"/>
      <c r="C20" s="325"/>
      <c r="D20" s="325"/>
      <c r="E20" s="325"/>
      <c r="F20" s="326"/>
      <c r="G20" s="348">
        <f>G22</f>
        <v>160864.75</v>
      </c>
      <c r="H20" s="349"/>
      <c r="I20" s="348">
        <f>I22</f>
        <v>160864.74999999997</v>
      </c>
      <c r="J20" s="349"/>
      <c r="K20" s="348">
        <f>K22</f>
        <v>160864.74999999997</v>
      </c>
      <c r="L20" s="349"/>
      <c r="M20" s="337">
        <f>K20/I20*100</f>
        <v>100</v>
      </c>
    </row>
    <row r="21" spans="1:15" x14ac:dyDescent="0.25">
      <c r="A21" s="324" t="s">
        <v>17</v>
      </c>
      <c r="B21" s="325"/>
      <c r="C21" s="325"/>
      <c r="D21" s="325"/>
      <c r="E21" s="325"/>
      <c r="F21" s="326"/>
      <c r="G21" s="332"/>
      <c r="H21" s="333"/>
      <c r="I21" s="332"/>
      <c r="J21" s="333"/>
      <c r="K21" s="332"/>
      <c r="L21" s="333"/>
      <c r="M21" s="337"/>
    </row>
    <row r="22" spans="1:15" x14ac:dyDescent="0.25">
      <c r="A22" s="30">
        <v>32</v>
      </c>
      <c r="B22" s="31" t="s">
        <v>50</v>
      </c>
      <c r="C22" s="31"/>
      <c r="D22" s="31"/>
      <c r="E22" s="31"/>
      <c r="F22" s="32"/>
      <c r="G22" s="320">
        <f t="shared" ref="G22" si="6">SUM(G23:H45)</f>
        <v>160864.75</v>
      </c>
      <c r="H22" s="321"/>
      <c r="I22" s="320">
        <f t="shared" ref="I22" si="7">SUM(I23:J45)</f>
        <v>160864.74999999997</v>
      </c>
      <c r="J22" s="321"/>
      <c r="K22" s="320">
        <f t="shared" ref="K22" si="8">SUM(K23:L45)</f>
        <v>160864.74999999997</v>
      </c>
      <c r="L22" s="321"/>
      <c r="M22" s="66">
        <f>K22/I22*100</f>
        <v>100</v>
      </c>
    </row>
    <row r="23" spans="1:15" x14ac:dyDescent="0.25">
      <c r="A23" s="11">
        <v>3211</v>
      </c>
      <c r="B23" s="4" t="s">
        <v>52</v>
      </c>
      <c r="C23" s="4"/>
      <c r="D23" s="4"/>
      <c r="E23" s="4"/>
      <c r="F23" s="12"/>
      <c r="G23" s="169">
        <v>10000</v>
      </c>
      <c r="H23" s="170"/>
      <c r="I23" s="169">
        <v>15043.2</v>
      </c>
      <c r="J23" s="170"/>
      <c r="K23" s="169">
        <v>15043.2</v>
      </c>
      <c r="L23" s="170"/>
      <c r="M23" s="47">
        <f t="shared" ref="M23:M45" si="9">K23/I23*100</f>
        <v>100</v>
      </c>
      <c r="O23" s="26"/>
    </row>
    <row r="24" spans="1:15" x14ac:dyDescent="0.25">
      <c r="A24" s="11">
        <v>3212</v>
      </c>
      <c r="B24" s="4" t="s">
        <v>91</v>
      </c>
      <c r="C24" s="4"/>
      <c r="D24" s="4"/>
      <c r="E24" s="4"/>
      <c r="F24" s="12"/>
      <c r="G24" s="169">
        <v>35000</v>
      </c>
      <c r="H24" s="170"/>
      <c r="I24" s="169">
        <v>35312.86</v>
      </c>
      <c r="J24" s="170"/>
      <c r="K24" s="169">
        <v>35312.86</v>
      </c>
      <c r="L24" s="170"/>
      <c r="M24" s="47">
        <f t="shared" si="9"/>
        <v>100</v>
      </c>
    </row>
    <row r="25" spans="1:15" x14ac:dyDescent="0.25">
      <c r="A25" s="11">
        <v>3213</v>
      </c>
      <c r="B25" s="4" t="s">
        <v>54</v>
      </c>
      <c r="C25" s="4"/>
      <c r="D25" s="4"/>
      <c r="E25" s="4"/>
      <c r="F25" s="12"/>
      <c r="G25" s="169">
        <v>1787.15</v>
      </c>
      <c r="H25" s="170"/>
      <c r="I25" s="169">
        <v>2137.35</v>
      </c>
      <c r="J25" s="170"/>
      <c r="K25" s="169">
        <v>2137.35</v>
      </c>
      <c r="L25" s="170"/>
      <c r="M25" s="47">
        <f>K25/I25*100</f>
        <v>100</v>
      </c>
    </row>
    <row r="26" spans="1:15" x14ac:dyDescent="0.25">
      <c r="A26" s="11">
        <v>3214</v>
      </c>
      <c r="B26" s="4" t="s">
        <v>84</v>
      </c>
      <c r="C26" s="4"/>
      <c r="D26" s="4"/>
      <c r="E26" s="4"/>
      <c r="F26" s="12"/>
      <c r="G26" s="169">
        <v>800</v>
      </c>
      <c r="H26" s="170"/>
      <c r="I26" s="169">
        <v>1370.5</v>
      </c>
      <c r="J26" s="170"/>
      <c r="K26" s="169">
        <v>1370.5</v>
      </c>
      <c r="L26" s="170"/>
      <c r="M26" s="47">
        <f t="shared" si="9"/>
        <v>100</v>
      </c>
    </row>
    <row r="27" spans="1:15" x14ac:dyDescent="0.25">
      <c r="A27" s="11">
        <v>3221</v>
      </c>
      <c r="B27" s="4" t="s">
        <v>56</v>
      </c>
      <c r="C27" s="4"/>
      <c r="D27" s="4"/>
      <c r="E27" s="4"/>
      <c r="F27" s="12"/>
      <c r="G27" s="169">
        <v>7500</v>
      </c>
      <c r="H27" s="170"/>
      <c r="I27" s="169">
        <v>9254.7800000000007</v>
      </c>
      <c r="J27" s="170"/>
      <c r="K27" s="169">
        <v>9254.7800000000007</v>
      </c>
      <c r="L27" s="170"/>
      <c r="M27" s="47">
        <f t="shared" si="9"/>
        <v>100</v>
      </c>
    </row>
    <row r="28" spans="1:15" x14ac:dyDescent="0.25">
      <c r="A28" s="11">
        <v>3222</v>
      </c>
      <c r="B28" s="4" t="s">
        <v>92</v>
      </c>
      <c r="C28" s="4"/>
      <c r="D28" s="4"/>
      <c r="E28" s="4"/>
      <c r="F28" s="12"/>
      <c r="G28" s="169">
        <v>23500</v>
      </c>
      <c r="H28" s="170"/>
      <c r="I28" s="169">
        <v>33783.46</v>
      </c>
      <c r="J28" s="170"/>
      <c r="K28" s="169">
        <v>33783.46</v>
      </c>
      <c r="L28" s="170"/>
      <c r="M28" s="47">
        <f t="shared" si="9"/>
        <v>100</v>
      </c>
    </row>
    <row r="29" spans="1:15" x14ac:dyDescent="0.25">
      <c r="A29" s="11">
        <v>3223</v>
      </c>
      <c r="B29" s="4" t="s">
        <v>57</v>
      </c>
      <c r="C29" s="4"/>
      <c r="D29" s="4"/>
      <c r="E29" s="4"/>
      <c r="F29" s="12"/>
      <c r="G29" s="169">
        <v>46290.51</v>
      </c>
      <c r="H29" s="170"/>
      <c r="I29" s="169">
        <v>23145.91</v>
      </c>
      <c r="J29" s="170"/>
      <c r="K29" s="169">
        <v>23145.91</v>
      </c>
      <c r="L29" s="170"/>
      <c r="M29" s="47">
        <f t="shared" si="9"/>
        <v>100</v>
      </c>
    </row>
    <row r="30" spans="1:15" x14ac:dyDescent="0.25">
      <c r="A30" s="11">
        <v>3224</v>
      </c>
      <c r="B30" s="4" t="s">
        <v>93</v>
      </c>
      <c r="C30" s="4"/>
      <c r="D30" s="4"/>
      <c r="E30" s="4"/>
      <c r="F30" s="12"/>
      <c r="G30" s="169">
        <v>3800</v>
      </c>
      <c r="H30" s="170"/>
      <c r="I30" s="169">
        <v>6295.81</v>
      </c>
      <c r="J30" s="170"/>
      <c r="K30" s="169">
        <v>6295.81</v>
      </c>
      <c r="L30" s="170"/>
      <c r="M30" s="47">
        <f t="shared" si="9"/>
        <v>100</v>
      </c>
    </row>
    <row r="31" spans="1:15" x14ac:dyDescent="0.25">
      <c r="A31" s="11">
        <v>3225</v>
      </c>
      <c r="B31" s="4" t="s">
        <v>59</v>
      </c>
      <c r="C31" s="4"/>
      <c r="D31" s="4"/>
      <c r="E31" s="4"/>
      <c r="F31" s="12"/>
      <c r="G31" s="169">
        <v>500</v>
      </c>
      <c r="H31" s="170"/>
      <c r="I31" s="169">
        <v>623.85</v>
      </c>
      <c r="J31" s="170"/>
      <c r="K31" s="169">
        <v>623.85</v>
      </c>
      <c r="L31" s="170"/>
      <c r="M31" s="47">
        <f t="shared" si="9"/>
        <v>100</v>
      </c>
    </row>
    <row r="32" spans="1:15" x14ac:dyDescent="0.25">
      <c r="A32" s="11">
        <v>3227</v>
      </c>
      <c r="B32" s="4" t="s">
        <v>60</v>
      </c>
      <c r="C32" s="4"/>
      <c r="D32" s="4"/>
      <c r="E32" s="4"/>
      <c r="F32" s="12"/>
      <c r="G32" s="169">
        <v>600</v>
      </c>
      <c r="H32" s="170"/>
      <c r="I32" s="169">
        <v>605.42999999999995</v>
      </c>
      <c r="J32" s="170"/>
      <c r="K32" s="169">
        <v>605.42999999999995</v>
      </c>
      <c r="L32" s="170"/>
      <c r="M32" s="47">
        <f t="shared" si="9"/>
        <v>100</v>
      </c>
    </row>
    <row r="33" spans="1:13" x14ac:dyDescent="0.25">
      <c r="A33" s="11">
        <v>3231</v>
      </c>
      <c r="B33" s="4" t="s">
        <v>62</v>
      </c>
      <c r="C33" s="4"/>
      <c r="D33" s="4"/>
      <c r="E33" s="4"/>
      <c r="F33" s="12"/>
      <c r="G33" s="169">
        <v>6000</v>
      </c>
      <c r="H33" s="170"/>
      <c r="I33" s="169">
        <v>7544.2</v>
      </c>
      <c r="J33" s="170"/>
      <c r="K33" s="169">
        <v>7544.2</v>
      </c>
      <c r="L33" s="170"/>
      <c r="M33" s="47">
        <f t="shared" si="9"/>
        <v>100</v>
      </c>
    </row>
    <row r="34" spans="1:13" x14ac:dyDescent="0.25">
      <c r="A34" s="11">
        <v>3232</v>
      </c>
      <c r="B34" s="4" t="s">
        <v>63</v>
      </c>
      <c r="C34" s="4"/>
      <c r="D34" s="4"/>
      <c r="E34" s="4"/>
      <c r="F34" s="12"/>
      <c r="G34" s="169">
        <v>2000</v>
      </c>
      <c r="H34" s="170"/>
      <c r="I34" s="169">
        <v>1930.03</v>
      </c>
      <c r="J34" s="170"/>
      <c r="K34" s="169">
        <v>1930.03</v>
      </c>
      <c r="L34" s="170"/>
      <c r="M34" s="47">
        <f t="shared" si="9"/>
        <v>100</v>
      </c>
    </row>
    <row r="35" spans="1:13" x14ac:dyDescent="0.25">
      <c r="A35" s="11">
        <v>3233</v>
      </c>
      <c r="B35" s="4" t="s">
        <v>87</v>
      </c>
      <c r="C35" s="4"/>
      <c r="D35" s="4"/>
      <c r="E35" s="4"/>
      <c r="F35" s="12"/>
      <c r="G35" s="169">
        <v>127.44</v>
      </c>
      <c r="H35" s="170"/>
      <c r="I35" s="169">
        <v>127.44</v>
      </c>
      <c r="J35" s="170"/>
      <c r="K35" s="169">
        <v>127.44</v>
      </c>
      <c r="L35" s="170"/>
      <c r="M35" s="47">
        <f t="shared" si="9"/>
        <v>100</v>
      </c>
    </row>
    <row r="36" spans="1:13" x14ac:dyDescent="0.25">
      <c r="A36" s="11">
        <v>3234</v>
      </c>
      <c r="B36" s="4" t="s">
        <v>86</v>
      </c>
      <c r="C36" s="4"/>
      <c r="D36" s="4"/>
      <c r="E36" s="4"/>
      <c r="F36" s="12"/>
      <c r="G36" s="169">
        <v>6800</v>
      </c>
      <c r="H36" s="170"/>
      <c r="I36" s="169">
        <v>6474.39</v>
      </c>
      <c r="J36" s="170"/>
      <c r="K36" s="169">
        <v>6474.39</v>
      </c>
      <c r="L36" s="170"/>
      <c r="M36" s="47">
        <f t="shared" si="9"/>
        <v>100</v>
      </c>
    </row>
    <row r="37" spans="1:13" x14ac:dyDescent="0.25">
      <c r="A37" s="11">
        <v>3235</v>
      </c>
      <c r="B37" s="4" t="s">
        <v>64</v>
      </c>
      <c r="C37" s="4"/>
      <c r="D37" s="4"/>
      <c r="E37" s="4"/>
      <c r="F37" s="12"/>
      <c r="G37" s="169">
        <v>1800</v>
      </c>
      <c r="H37" s="170"/>
      <c r="I37" s="169">
        <v>2626.78</v>
      </c>
      <c r="J37" s="170"/>
      <c r="K37" s="169">
        <v>2626.78</v>
      </c>
      <c r="L37" s="170"/>
      <c r="M37" s="47">
        <f t="shared" si="9"/>
        <v>100</v>
      </c>
    </row>
    <row r="38" spans="1:13" x14ac:dyDescent="0.25">
      <c r="A38" s="11">
        <v>3236</v>
      </c>
      <c r="B38" s="4" t="s">
        <v>65</v>
      </c>
      <c r="C38" s="4"/>
      <c r="D38" s="4"/>
      <c r="E38" s="4"/>
      <c r="F38" s="12"/>
      <c r="G38" s="169">
        <v>4400</v>
      </c>
      <c r="H38" s="170"/>
      <c r="I38" s="169">
        <v>4038.22</v>
      </c>
      <c r="J38" s="170"/>
      <c r="K38" s="169">
        <v>4038.22</v>
      </c>
      <c r="L38" s="170"/>
      <c r="M38" s="47">
        <f t="shared" si="9"/>
        <v>100</v>
      </c>
    </row>
    <row r="39" spans="1:13" x14ac:dyDescent="0.25">
      <c r="A39" s="11">
        <v>3237</v>
      </c>
      <c r="B39" s="4" t="s">
        <v>66</v>
      </c>
      <c r="C39" s="4"/>
      <c r="D39" s="4"/>
      <c r="E39" s="4"/>
      <c r="F39" s="12"/>
      <c r="G39" s="169">
        <v>2000</v>
      </c>
      <c r="H39" s="170"/>
      <c r="I39" s="169">
        <v>2694.15</v>
      </c>
      <c r="J39" s="170"/>
      <c r="K39" s="169">
        <v>2694.15</v>
      </c>
      <c r="L39" s="170"/>
      <c r="M39" s="47">
        <f t="shared" si="9"/>
        <v>100</v>
      </c>
    </row>
    <row r="40" spans="1:13" x14ac:dyDescent="0.25">
      <c r="A40" s="11">
        <v>3238</v>
      </c>
      <c r="B40" s="4" t="s">
        <v>67</v>
      </c>
      <c r="C40" s="4"/>
      <c r="D40" s="4"/>
      <c r="E40" s="4"/>
      <c r="F40" s="12"/>
      <c r="G40" s="169">
        <v>4000</v>
      </c>
      <c r="H40" s="170"/>
      <c r="I40" s="169">
        <v>4614.46</v>
      </c>
      <c r="J40" s="170"/>
      <c r="K40" s="169">
        <v>4614.46</v>
      </c>
      <c r="L40" s="170"/>
      <c r="M40" s="47">
        <f t="shared" si="9"/>
        <v>100</v>
      </c>
    </row>
    <row r="41" spans="1:13" x14ac:dyDescent="0.25">
      <c r="A41" s="11">
        <v>3239</v>
      </c>
      <c r="B41" s="4" t="s">
        <v>68</v>
      </c>
      <c r="C41" s="4"/>
      <c r="D41" s="4"/>
      <c r="E41" s="4"/>
      <c r="F41" s="12"/>
      <c r="G41" s="169">
        <v>1500</v>
      </c>
      <c r="H41" s="170"/>
      <c r="I41" s="169">
        <v>1430.11</v>
      </c>
      <c r="J41" s="170"/>
      <c r="K41" s="169">
        <v>1430.11</v>
      </c>
      <c r="L41" s="170"/>
      <c r="M41" s="47">
        <f t="shared" si="9"/>
        <v>100</v>
      </c>
    </row>
    <row r="42" spans="1:13" x14ac:dyDescent="0.25">
      <c r="A42" s="11">
        <v>3292</v>
      </c>
      <c r="B42" s="4" t="s">
        <v>71</v>
      </c>
      <c r="C42" s="4"/>
      <c r="D42" s="4"/>
      <c r="E42" s="4"/>
      <c r="F42" s="12"/>
      <c r="G42" s="169">
        <v>300</v>
      </c>
      <c r="H42" s="170"/>
      <c r="I42" s="169">
        <v>133.08000000000001</v>
      </c>
      <c r="J42" s="170"/>
      <c r="K42" s="169">
        <v>133.08000000000001</v>
      </c>
      <c r="L42" s="170"/>
      <c r="M42" s="47">
        <f t="shared" si="9"/>
        <v>100</v>
      </c>
    </row>
    <row r="43" spans="1:13" x14ac:dyDescent="0.25">
      <c r="A43" s="11">
        <v>3293</v>
      </c>
      <c r="B43" s="4" t="s">
        <v>72</v>
      </c>
      <c r="C43" s="4"/>
      <c r="D43" s="4"/>
      <c r="E43" s="4"/>
      <c r="F43" s="12"/>
      <c r="G43" s="169">
        <v>300</v>
      </c>
      <c r="H43" s="170"/>
      <c r="I43" s="169">
        <v>436.94</v>
      </c>
      <c r="J43" s="170"/>
      <c r="K43" s="169">
        <v>436.94</v>
      </c>
      <c r="L43" s="170"/>
      <c r="M43" s="47">
        <f t="shared" si="9"/>
        <v>100</v>
      </c>
    </row>
    <row r="44" spans="1:13" x14ac:dyDescent="0.25">
      <c r="A44" s="11">
        <v>3294</v>
      </c>
      <c r="B44" s="4" t="s">
        <v>73</v>
      </c>
      <c r="C44" s="4"/>
      <c r="D44" s="4"/>
      <c r="E44" s="4"/>
      <c r="F44" s="12"/>
      <c r="G44" s="169">
        <v>175</v>
      </c>
      <c r="H44" s="170"/>
      <c r="I44" s="169">
        <v>175</v>
      </c>
      <c r="J44" s="170"/>
      <c r="K44" s="169">
        <v>175</v>
      </c>
      <c r="L44" s="170"/>
      <c r="M44" s="47">
        <f t="shared" si="9"/>
        <v>100</v>
      </c>
    </row>
    <row r="45" spans="1:13" x14ac:dyDescent="0.25">
      <c r="A45" s="11">
        <v>3299</v>
      </c>
      <c r="B45" s="4" t="s">
        <v>69</v>
      </c>
      <c r="C45" s="4"/>
      <c r="D45" s="4"/>
      <c r="E45" s="4"/>
      <c r="F45" s="12"/>
      <c r="G45" s="169">
        <v>1684.65</v>
      </c>
      <c r="H45" s="170"/>
      <c r="I45" s="169">
        <v>1066.8</v>
      </c>
      <c r="J45" s="170"/>
      <c r="K45" s="169">
        <v>1066.8</v>
      </c>
      <c r="L45" s="170"/>
      <c r="M45" s="47">
        <f t="shared" si="9"/>
        <v>100</v>
      </c>
    </row>
    <row r="46" spans="1:13" x14ac:dyDescent="0.25">
      <c r="A46" s="327" t="s">
        <v>96</v>
      </c>
      <c r="B46" s="328"/>
      <c r="C46" s="328"/>
      <c r="D46" s="328"/>
      <c r="E46" s="328"/>
      <c r="F46" s="329"/>
      <c r="G46" s="330">
        <f t="shared" ref="G46" si="10">G48+G52</f>
        <v>1991700</v>
      </c>
      <c r="H46" s="331"/>
      <c r="I46" s="330">
        <f t="shared" ref="I46" si="11">I48+I52</f>
        <v>1991700</v>
      </c>
      <c r="J46" s="331"/>
      <c r="K46" s="330">
        <f t="shared" ref="K46" si="12">K48+K52</f>
        <v>1976878.3999999997</v>
      </c>
      <c r="L46" s="331"/>
      <c r="M46" s="336">
        <f t="shared" ref="M46:M47" si="13">K46/I46*100</f>
        <v>99.255831701561462</v>
      </c>
    </row>
    <row r="47" spans="1:13" x14ac:dyDescent="0.25">
      <c r="A47" s="324" t="s">
        <v>97</v>
      </c>
      <c r="B47" s="325"/>
      <c r="C47" s="325"/>
      <c r="D47" s="325"/>
      <c r="E47" s="325"/>
      <c r="F47" s="326"/>
      <c r="G47" s="332"/>
      <c r="H47" s="333"/>
      <c r="I47" s="332"/>
      <c r="J47" s="333"/>
      <c r="K47" s="332"/>
      <c r="L47" s="333"/>
      <c r="M47" s="337" t="e">
        <f t="shared" si="13"/>
        <v>#DIV/0!</v>
      </c>
    </row>
    <row r="48" spans="1:13" x14ac:dyDescent="0.25">
      <c r="A48" s="30">
        <v>31</v>
      </c>
      <c r="B48" s="31" t="s">
        <v>44</v>
      </c>
      <c r="C48" s="31"/>
      <c r="D48" s="31"/>
      <c r="E48" s="31"/>
      <c r="F48" s="34"/>
      <c r="G48" s="320">
        <f t="shared" ref="G48" si="14">G49+G51+G50</f>
        <v>1990000</v>
      </c>
      <c r="H48" s="321"/>
      <c r="I48" s="320">
        <f t="shared" ref="I48" si="15">I49+I51+I50</f>
        <v>1990000</v>
      </c>
      <c r="J48" s="321"/>
      <c r="K48" s="320">
        <f t="shared" ref="K48" si="16">K49+K51+K50</f>
        <v>1975014.7599999998</v>
      </c>
      <c r="L48" s="321"/>
      <c r="M48" s="67">
        <f>K48/I48*100</f>
        <v>99.246972864321592</v>
      </c>
    </row>
    <row r="49" spans="1:13" x14ac:dyDescent="0.25">
      <c r="A49" s="10">
        <v>3111</v>
      </c>
      <c r="B49" s="33" t="s">
        <v>46</v>
      </c>
      <c r="C49" s="33"/>
      <c r="D49" s="33"/>
      <c r="E49" s="33"/>
      <c r="F49" s="34"/>
      <c r="G49" s="167">
        <v>1650000</v>
      </c>
      <c r="H49" s="168"/>
      <c r="I49" s="167">
        <v>1650000</v>
      </c>
      <c r="J49" s="168"/>
      <c r="K49" s="167">
        <f>1498157.72+138933.53</f>
        <v>1637091.25</v>
      </c>
      <c r="L49" s="168"/>
      <c r="M49" s="67">
        <f>K49/I49*100</f>
        <v>99.217651515151516</v>
      </c>
    </row>
    <row r="50" spans="1:13" x14ac:dyDescent="0.25">
      <c r="A50" s="11">
        <v>3121</v>
      </c>
      <c r="B50" s="4" t="s">
        <v>47</v>
      </c>
      <c r="C50" s="4"/>
      <c r="D50" s="4"/>
      <c r="E50" s="4"/>
      <c r="F50" s="17"/>
      <c r="G50" s="169">
        <v>65000</v>
      </c>
      <c r="H50" s="170"/>
      <c r="I50" s="169">
        <v>65000</v>
      </c>
      <c r="J50" s="170"/>
      <c r="K50" s="169">
        <f>24800+43003.4</f>
        <v>67803.399999999994</v>
      </c>
      <c r="L50" s="170"/>
      <c r="M50" s="40">
        <f>K50/I50*100</f>
        <v>104.31292307692306</v>
      </c>
    </row>
    <row r="51" spans="1:13" x14ac:dyDescent="0.25">
      <c r="A51" s="11">
        <v>3132</v>
      </c>
      <c r="B51" s="4" t="s">
        <v>94</v>
      </c>
      <c r="C51" s="4"/>
      <c r="D51" s="4"/>
      <c r="E51" s="4"/>
      <c r="F51" s="17"/>
      <c r="G51" s="169">
        <v>275000</v>
      </c>
      <c r="H51" s="170"/>
      <c r="I51" s="169">
        <v>275000</v>
      </c>
      <c r="J51" s="170"/>
      <c r="K51" s="169">
        <f>22924.02+247196.09</f>
        <v>270120.11</v>
      </c>
      <c r="L51" s="170"/>
      <c r="M51" s="40">
        <f>K51/I51*100</f>
        <v>98.225494545454538</v>
      </c>
    </row>
    <row r="52" spans="1:13" x14ac:dyDescent="0.25">
      <c r="A52" s="30">
        <v>32</v>
      </c>
      <c r="B52" s="31" t="s">
        <v>50</v>
      </c>
      <c r="C52" s="31"/>
      <c r="D52" s="31"/>
      <c r="E52" s="31"/>
      <c r="F52" s="34"/>
      <c r="G52" s="320">
        <f t="shared" ref="G52" si="17">G53</f>
        <v>1700</v>
      </c>
      <c r="H52" s="321"/>
      <c r="I52" s="320">
        <f t="shared" ref="I52" si="18">I53</f>
        <v>1700</v>
      </c>
      <c r="J52" s="321"/>
      <c r="K52" s="320">
        <f t="shared" ref="K52" si="19">K53</f>
        <v>1863.64</v>
      </c>
      <c r="L52" s="321"/>
      <c r="M52" s="40">
        <f>K52/I52*100</f>
        <v>109.62588235294118</v>
      </c>
    </row>
    <row r="53" spans="1:13" x14ac:dyDescent="0.25">
      <c r="A53" s="11">
        <v>3295</v>
      </c>
      <c r="B53" s="4" t="s">
        <v>98</v>
      </c>
      <c r="C53" s="4"/>
      <c r="D53" s="4"/>
      <c r="E53" s="4"/>
      <c r="F53" s="17"/>
      <c r="G53" s="169">
        <v>1700</v>
      </c>
      <c r="H53" s="170"/>
      <c r="I53" s="169">
        <v>1700</v>
      </c>
      <c r="J53" s="170"/>
      <c r="K53" s="169">
        <f>168+1695.64</f>
        <v>1863.64</v>
      </c>
      <c r="L53" s="170"/>
      <c r="M53" s="40">
        <f t="shared" ref="M53" si="20">K53/I53*100</f>
        <v>109.62588235294118</v>
      </c>
    </row>
    <row r="54" spans="1:13" x14ac:dyDescent="0.25">
      <c r="A54" s="354" t="s">
        <v>100</v>
      </c>
      <c r="B54" s="355"/>
      <c r="C54" s="355"/>
      <c r="D54" s="355"/>
      <c r="E54" s="355"/>
      <c r="F54" s="356"/>
      <c r="G54" s="346">
        <f>G55+G61+G95+G99+G107+G103</f>
        <v>41927.11</v>
      </c>
      <c r="H54" s="347"/>
      <c r="I54" s="346">
        <f>I55+I61+I95+I99+I107+I103</f>
        <v>51683.63</v>
      </c>
      <c r="J54" s="347"/>
      <c r="K54" s="346">
        <f>K55+K61+K95+K99+K107+K103</f>
        <v>38496.859999999993</v>
      </c>
      <c r="L54" s="347"/>
      <c r="M54" s="44">
        <f t="shared" ref="M54" si="21">K54/I54*100</f>
        <v>74.485596309701918</v>
      </c>
    </row>
    <row r="55" spans="1:13" x14ac:dyDescent="0.25">
      <c r="A55" s="324" t="s">
        <v>101</v>
      </c>
      <c r="B55" s="325"/>
      <c r="C55" s="325"/>
      <c r="D55" s="325"/>
      <c r="E55" s="325"/>
      <c r="F55" s="326"/>
      <c r="G55" s="348">
        <f t="shared" ref="G55" si="22">G57</f>
        <v>0</v>
      </c>
      <c r="H55" s="349"/>
      <c r="I55" s="348">
        <f t="shared" ref="I55" si="23">I57</f>
        <v>4400</v>
      </c>
      <c r="J55" s="349"/>
      <c r="K55" s="348">
        <f t="shared" ref="K55" si="24">K57</f>
        <v>4399.99</v>
      </c>
      <c r="L55" s="349"/>
      <c r="M55" s="337">
        <f t="shared" ref="M55:M59" si="25">K55/I55*100</f>
        <v>99.999772727272713</v>
      </c>
    </row>
    <row r="56" spans="1:13" x14ac:dyDescent="0.25">
      <c r="A56" s="324" t="s">
        <v>102</v>
      </c>
      <c r="B56" s="325"/>
      <c r="C56" s="325"/>
      <c r="D56" s="325"/>
      <c r="E56" s="325"/>
      <c r="F56" s="326"/>
      <c r="G56" s="332"/>
      <c r="H56" s="333"/>
      <c r="I56" s="332"/>
      <c r="J56" s="333"/>
      <c r="K56" s="332"/>
      <c r="L56" s="333"/>
      <c r="M56" s="337" t="e">
        <f t="shared" si="25"/>
        <v>#DIV/0!</v>
      </c>
    </row>
    <row r="57" spans="1:13" x14ac:dyDescent="0.25">
      <c r="A57" s="30">
        <v>32</v>
      </c>
      <c r="B57" s="31" t="s">
        <v>50</v>
      </c>
      <c r="C57" s="31"/>
      <c r="D57" s="31"/>
      <c r="E57" s="31"/>
      <c r="F57" s="34"/>
      <c r="G57" s="320">
        <f>SUM(G58:H60)</f>
        <v>0</v>
      </c>
      <c r="H57" s="321"/>
      <c r="I57" s="320">
        <f>SUM(I58:J60)</f>
        <v>4400</v>
      </c>
      <c r="J57" s="321"/>
      <c r="K57" s="320">
        <f>SUM(K58:L60)</f>
        <v>4399.99</v>
      </c>
      <c r="L57" s="321"/>
      <c r="M57" s="66">
        <f>K57/I57*100</f>
        <v>99.999772727272713</v>
      </c>
    </row>
    <row r="58" spans="1:13" x14ac:dyDescent="0.25">
      <c r="A58" s="10">
        <v>3221</v>
      </c>
      <c r="B58" s="33" t="s">
        <v>148</v>
      </c>
      <c r="C58" s="33"/>
      <c r="D58" s="33"/>
      <c r="E58" s="33"/>
      <c r="F58" s="34"/>
      <c r="G58" s="167"/>
      <c r="H58" s="168"/>
      <c r="I58" s="167">
        <v>2000</v>
      </c>
      <c r="J58" s="168"/>
      <c r="K58" s="167">
        <v>2000</v>
      </c>
      <c r="L58" s="168"/>
      <c r="M58" s="67">
        <f t="shared" si="25"/>
        <v>100</v>
      </c>
    </row>
    <row r="59" spans="1:13" x14ac:dyDescent="0.25">
      <c r="A59" s="10">
        <v>3239</v>
      </c>
      <c r="B59" s="33" t="s">
        <v>68</v>
      </c>
      <c r="C59" s="33"/>
      <c r="D59" s="33"/>
      <c r="E59" s="33"/>
      <c r="F59" s="34"/>
      <c r="G59" s="167"/>
      <c r="H59" s="168"/>
      <c r="I59" s="167">
        <v>1800</v>
      </c>
      <c r="J59" s="168"/>
      <c r="K59" s="167">
        <v>1799.99</v>
      </c>
      <c r="L59" s="168"/>
      <c r="M59" s="67">
        <f t="shared" si="25"/>
        <v>99.999444444444435</v>
      </c>
    </row>
    <row r="60" spans="1:13" x14ac:dyDescent="0.25">
      <c r="A60" s="10">
        <v>3299</v>
      </c>
      <c r="B60" s="33" t="s">
        <v>112</v>
      </c>
      <c r="C60" s="33"/>
      <c r="D60" s="33"/>
      <c r="E60" s="33"/>
      <c r="F60" s="34"/>
      <c r="G60" s="167"/>
      <c r="H60" s="168"/>
      <c r="I60" s="167">
        <v>600</v>
      </c>
      <c r="J60" s="168"/>
      <c r="K60" s="167">
        <v>600</v>
      </c>
      <c r="L60" s="168"/>
      <c r="M60" s="67">
        <f>K60/I60*100</f>
        <v>100</v>
      </c>
    </row>
    <row r="61" spans="1:13" x14ac:dyDescent="0.25">
      <c r="A61" s="327" t="s">
        <v>103</v>
      </c>
      <c r="B61" s="328"/>
      <c r="C61" s="328"/>
      <c r="D61" s="328"/>
      <c r="E61" s="328"/>
      <c r="F61" s="329"/>
      <c r="G61" s="332">
        <f>G63+G71+G76+G83+G86</f>
        <v>41927.11</v>
      </c>
      <c r="H61" s="333"/>
      <c r="I61" s="332">
        <f>I63+I71+I76+I83+I86</f>
        <v>41927.11</v>
      </c>
      <c r="J61" s="333"/>
      <c r="K61" s="332">
        <f>K63+K71+K76+K83+K86</f>
        <v>28745.760000000002</v>
      </c>
      <c r="L61" s="333"/>
      <c r="M61" s="336">
        <f>K61/I61*100</f>
        <v>68.561272169725029</v>
      </c>
    </row>
    <row r="62" spans="1:13" x14ac:dyDescent="0.25">
      <c r="A62" s="357"/>
      <c r="B62" s="358"/>
      <c r="C62" s="358"/>
      <c r="D62" s="358"/>
      <c r="E62" s="358"/>
      <c r="F62" s="359"/>
      <c r="G62" s="348"/>
      <c r="H62" s="349"/>
      <c r="I62" s="348"/>
      <c r="J62" s="349"/>
      <c r="K62" s="348"/>
      <c r="L62" s="349"/>
      <c r="M62" s="350"/>
    </row>
    <row r="63" spans="1:13" x14ac:dyDescent="0.25">
      <c r="A63" s="327" t="s">
        <v>108</v>
      </c>
      <c r="B63" s="328"/>
      <c r="C63" s="328"/>
      <c r="D63" s="328"/>
      <c r="E63" s="328"/>
      <c r="F63" s="329"/>
      <c r="G63" s="332">
        <f>G64</f>
        <v>3100</v>
      </c>
      <c r="H63" s="333"/>
      <c r="I63" s="332">
        <f t="shared" ref="I63" si="26">I64</f>
        <v>3100</v>
      </c>
      <c r="J63" s="333"/>
      <c r="K63" s="332">
        <f t="shared" ref="K63" si="27">K64</f>
        <v>462</v>
      </c>
      <c r="L63" s="333"/>
      <c r="M63" s="68">
        <f t="shared" ref="M63:M70" si="28">K63/I63*100</f>
        <v>14.903225806451612</v>
      </c>
    </row>
    <row r="64" spans="1:13" x14ac:dyDescent="0.25">
      <c r="A64" s="30">
        <v>32</v>
      </c>
      <c r="B64" s="31" t="s">
        <v>50</v>
      </c>
      <c r="C64" s="31"/>
      <c r="D64" s="31"/>
      <c r="E64" s="31"/>
      <c r="F64" s="34"/>
      <c r="G64" s="320">
        <f>SUM(G65:H70)</f>
        <v>3100</v>
      </c>
      <c r="H64" s="321"/>
      <c r="I64" s="320">
        <f t="shared" ref="I64" si="29">SUM(I65:J70)</f>
        <v>3100</v>
      </c>
      <c r="J64" s="321"/>
      <c r="K64" s="320">
        <f t="shared" ref="K64" si="30">SUM(K65:L70)</f>
        <v>462</v>
      </c>
      <c r="L64" s="321"/>
      <c r="M64" s="71">
        <f t="shared" si="28"/>
        <v>14.903225806451612</v>
      </c>
    </row>
    <row r="65" spans="1:13" x14ac:dyDescent="0.25">
      <c r="A65" s="11">
        <v>3222</v>
      </c>
      <c r="B65" s="4" t="s">
        <v>85</v>
      </c>
      <c r="C65" s="4"/>
      <c r="D65" s="4"/>
      <c r="E65" s="4"/>
      <c r="F65" s="12"/>
      <c r="G65" s="169">
        <v>500</v>
      </c>
      <c r="H65" s="170"/>
      <c r="I65" s="169">
        <v>500</v>
      </c>
      <c r="J65" s="170"/>
      <c r="K65" s="169">
        <v>425</v>
      </c>
      <c r="L65" s="170"/>
      <c r="M65" s="40">
        <f t="shared" si="28"/>
        <v>85</v>
      </c>
    </row>
    <row r="66" spans="1:13" s="87" customFormat="1" x14ac:dyDescent="0.25">
      <c r="A66" s="11">
        <v>3225</v>
      </c>
      <c r="B66" s="4" t="s">
        <v>59</v>
      </c>
      <c r="C66" s="4"/>
      <c r="D66" s="4"/>
      <c r="E66" s="4"/>
      <c r="F66" s="12"/>
      <c r="G66" s="169">
        <v>300</v>
      </c>
      <c r="H66" s="170"/>
      <c r="I66" s="169">
        <v>300</v>
      </c>
      <c r="J66" s="170"/>
      <c r="K66" s="169"/>
      <c r="L66" s="170"/>
      <c r="M66" s="40">
        <f t="shared" si="28"/>
        <v>0</v>
      </c>
    </row>
    <row r="67" spans="1:13" s="87" customFormat="1" x14ac:dyDescent="0.25">
      <c r="A67" s="11">
        <v>3232</v>
      </c>
      <c r="B67" s="4" t="s">
        <v>63</v>
      </c>
      <c r="C67" s="4"/>
      <c r="D67" s="4"/>
      <c r="E67" s="4"/>
      <c r="F67" s="12"/>
      <c r="G67" s="169">
        <v>1000</v>
      </c>
      <c r="H67" s="170"/>
      <c r="I67" s="169">
        <v>1000</v>
      </c>
      <c r="J67" s="170"/>
      <c r="K67" s="169"/>
      <c r="L67" s="170"/>
      <c r="M67" s="40">
        <f t="shared" si="28"/>
        <v>0</v>
      </c>
    </row>
    <row r="68" spans="1:13" s="87" customFormat="1" x14ac:dyDescent="0.25">
      <c r="A68" s="11">
        <v>3234</v>
      </c>
      <c r="B68" s="4" t="s">
        <v>86</v>
      </c>
      <c r="C68" s="4"/>
      <c r="D68" s="4"/>
      <c r="E68" s="4"/>
      <c r="F68" s="12"/>
      <c r="G68" s="169">
        <v>600</v>
      </c>
      <c r="H68" s="170"/>
      <c r="I68" s="169">
        <v>600</v>
      </c>
      <c r="J68" s="170"/>
      <c r="K68" s="169"/>
      <c r="L68" s="170"/>
      <c r="M68" s="40">
        <f t="shared" si="28"/>
        <v>0</v>
      </c>
    </row>
    <row r="69" spans="1:13" s="87" customFormat="1" x14ac:dyDescent="0.25">
      <c r="A69" s="11">
        <v>3237</v>
      </c>
      <c r="B69" s="4" t="s">
        <v>66</v>
      </c>
      <c r="C69" s="4"/>
      <c r="D69" s="4"/>
      <c r="E69" s="4"/>
      <c r="F69" s="12"/>
      <c r="G69" s="169">
        <v>500</v>
      </c>
      <c r="H69" s="170"/>
      <c r="I69" s="169">
        <v>500</v>
      </c>
      <c r="J69" s="170"/>
      <c r="K69" s="169"/>
      <c r="L69" s="170"/>
      <c r="M69" s="40">
        <f t="shared" si="28"/>
        <v>0</v>
      </c>
    </row>
    <row r="70" spans="1:13" s="87" customFormat="1" x14ac:dyDescent="0.25">
      <c r="A70" s="11">
        <v>3239</v>
      </c>
      <c r="B70" s="4" t="s">
        <v>68</v>
      </c>
      <c r="C70" s="4"/>
      <c r="D70" s="4"/>
      <c r="E70" s="4"/>
      <c r="F70" s="12"/>
      <c r="G70" s="169">
        <v>200</v>
      </c>
      <c r="H70" s="170"/>
      <c r="I70" s="169">
        <v>200</v>
      </c>
      <c r="J70" s="170"/>
      <c r="K70" s="169">
        <v>37</v>
      </c>
      <c r="L70" s="170"/>
      <c r="M70" s="40">
        <f t="shared" si="28"/>
        <v>18.5</v>
      </c>
    </row>
    <row r="71" spans="1:13" x14ac:dyDescent="0.25">
      <c r="A71" s="327" t="s">
        <v>107</v>
      </c>
      <c r="B71" s="328"/>
      <c r="C71" s="328"/>
      <c r="D71" s="328"/>
      <c r="E71" s="328"/>
      <c r="F71" s="329"/>
      <c r="G71" s="332">
        <f>G72</f>
        <v>600</v>
      </c>
      <c r="H71" s="333"/>
      <c r="I71" s="332">
        <f>I72</f>
        <v>600</v>
      </c>
      <c r="J71" s="333"/>
      <c r="K71" s="332">
        <f>K72</f>
        <v>0</v>
      </c>
      <c r="L71" s="333"/>
      <c r="M71" s="68">
        <f t="shared" ref="M71:M94" si="31">K71/I71*100</f>
        <v>0</v>
      </c>
    </row>
    <row r="72" spans="1:13" x14ac:dyDescent="0.25">
      <c r="A72" s="30">
        <v>32</v>
      </c>
      <c r="B72" s="31" t="s">
        <v>50</v>
      </c>
      <c r="C72" s="31"/>
      <c r="D72" s="31"/>
      <c r="E72" s="31"/>
      <c r="F72" s="34"/>
      <c r="G72" s="320">
        <f>SUM(G73:H75)</f>
        <v>600</v>
      </c>
      <c r="H72" s="321"/>
      <c r="I72" s="320">
        <f>SUM(I73:J75)</f>
        <v>600</v>
      </c>
      <c r="J72" s="321"/>
      <c r="K72" s="320">
        <f>SUM(K73:L75)</f>
        <v>0</v>
      </c>
      <c r="L72" s="321"/>
      <c r="M72" s="71">
        <f>K72/I72*100</f>
        <v>0</v>
      </c>
    </row>
    <row r="73" spans="1:13" x14ac:dyDescent="0.25">
      <c r="A73" s="22">
        <v>3221</v>
      </c>
      <c r="B73" s="3" t="s">
        <v>56</v>
      </c>
      <c r="C73" s="3"/>
      <c r="D73" s="3"/>
      <c r="E73" s="3"/>
      <c r="F73" s="23"/>
      <c r="G73" s="344">
        <v>200</v>
      </c>
      <c r="H73" s="345"/>
      <c r="I73" s="344">
        <v>200</v>
      </c>
      <c r="J73" s="345"/>
      <c r="K73" s="344"/>
      <c r="L73" s="345"/>
      <c r="M73" s="67">
        <f t="shared" si="31"/>
        <v>0</v>
      </c>
    </row>
    <row r="74" spans="1:13" s="87" customFormat="1" x14ac:dyDescent="0.25">
      <c r="A74" s="11">
        <v>3235</v>
      </c>
      <c r="B74" s="4" t="s">
        <v>64</v>
      </c>
      <c r="C74" s="4"/>
      <c r="D74" s="4"/>
      <c r="E74" s="4"/>
      <c r="F74" s="12"/>
      <c r="G74" s="169">
        <v>200</v>
      </c>
      <c r="H74" s="170"/>
      <c r="I74" s="169">
        <v>200</v>
      </c>
      <c r="J74" s="170"/>
      <c r="K74" s="169"/>
      <c r="L74" s="170"/>
      <c r="M74" s="40">
        <f t="shared" si="31"/>
        <v>0</v>
      </c>
    </row>
    <row r="75" spans="1:13" s="87" customFormat="1" x14ac:dyDescent="0.25">
      <c r="A75" s="11">
        <v>3238</v>
      </c>
      <c r="B75" s="4" t="s">
        <v>67</v>
      </c>
      <c r="C75" s="4"/>
      <c r="D75" s="4"/>
      <c r="E75" s="4"/>
      <c r="F75" s="12"/>
      <c r="G75" s="169">
        <v>200</v>
      </c>
      <c r="H75" s="170"/>
      <c r="I75" s="169">
        <v>200</v>
      </c>
      <c r="J75" s="170"/>
      <c r="K75" s="169"/>
      <c r="L75" s="170"/>
      <c r="M75" s="40">
        <f t="shared" si="31"/>
        <v>0</v>
      </c>
    </row>
    <row r="76" spans="1:13" x14ac:dyDescent="0.25">
      <c r="A76" s="327" t="s">
        <v>104</v>
      </c>
      <c r="B76" s="328"/>
      <c r="C76" s="328"/>
      <c r="D76" s="328"/>
      <c r="E76" s="328"/>
      <c r="F76" s="329"/>
      <c r="G76" s="332">
        <f>G77+G81</f>
        <v>21730</v>
      </c>
      <c r="H76" s="333"/>
      <c r="I76" s="332">
        <f>I77+I81</f>
        <v>21730</v>
      </c>
      <c r="J76" s="333"/>
      <c r="K76" s="332">
        <f>K77+K81</f>
        <v>18708.77</v>
      </c>
      <c r="L76" s="333"/>
      <c r="M76" s="68">
        <f t="shared" ref="M76" si="32">K76/I76*100</f>
        <v>86.096502531063052</v>
      </c>
    </row>
    <row r="77" spans="1:13" x14ac:dyDescent="0.25">
      <c r="A77" s="16">
        <v>32</v>
      </c>
      <c r="B77" s="5" t="s">
        <v>50</v>
      </c>
      <c r="C77" s="5"/>
      <c r="D77" s="5"/>
      <c r="E77" s="5"/>
      <c r="F77" s="17"/>
      <c r="G77" s="303">
        <f>SUM(G78:H80)</f>
        <v>20730</v>
      </c>
      <c r="H77" s="304"/>
      <c r="I77" s="303">
        <f>SUM(I78:J80)</f>
        <v>20730</v>
      </c>
      <c r="J77" s="304"/>
      <c r="K77" s="303">
        <f>SUM(K78:L80)</f>
        <v>17913.96</v>
      </c>
      <c r="L77" s="304"/>
      <c r="M77" s="39">
        <f>K77/I77*100</f>
        <v>86.41562952243126</v>
      </c>
    </row>
    <row r="78" spans="1:13" x14ac:dyDescent="0.25">
      <c r="A78" s="11">
        <v>3231</v>
      </c>
      <c r="B78" s="4" t="s">
        <v>62</v>
      </c>
      <c r="C78" s="4"/>
      <c r="D78" s="4"/>
      <c r="E78" s="4"/>
      <c r="F78" s="12"/>
      <c r="G78" s="169">
        <v>20000</v>
      </c>
      <c r="H78" s="170"/>
      <c r="I78" s="169">
        <v>20000</v>
      </c>
      <c r="J78" s="170"/>
      <c r="K78" s="169">
        <v>16376.46</v>
      </c>
      <c r="L78" s="170"/>
      <c r="M78" s="40">
        <f t="shared" si="31"/>
        <v>81.882300000000001</v>
      </c>
    </row>
    <row r="79" spans="1:13" x14ac:dyDescent="0.25">
      <c r="A79" s="11">
        <v>3291</v>
      </c>
      <c r="B79" s="4" t="s">
        <v>105</v>
      </c>
      <c r="C79" s="4"/>
      <c r="D79" s="4"/>
      <c r="E79" s="4"/>
      <c r="F79" s="12"/>
      <c r="G79" s="169">
        <v>230</v>
      </c>
      <c r="H79" s="170"/>
      <c r="I79" s="169">
        <v>230</v>
      </c>
      <c r="J79" s="170"/>
      <c r="K79" s="169">
        <v>336.32</v>
      </c>
      <c r="L79" s="170"/>
      <c r="M79" s="40">
        <f t="shared" si="31"/>
        <v>146.22608695652173</v>
      </c>
    </row>
    <row r="80" spans="1:13" s="87" customFormat="1" x14ac:dyDescent="0.25">
      <c r="A80" s="11">
        <v>3295</v>
      </c>
      <c r="B80" s="4" t="s">
        <v>74</v>
      </c>
      <c r="C80" s="4"/>
      <c r="D80" s="4"/>
      <c r="E80" s="4"/>
      <c r="F80" s="12"/>
      <c r="G80" s="169">
        <v>500</v>
      </c>
      <c r="H80" s="170"/>
      <c r="I80" s="169">
        <v>500</v>
      </c>
      <c r="J80" s="170"/>
      <c r="K80" s="169">
        <v>1201.18</v>
      </c>
      <c r="L80" s="170"/>
      <c r="M80" s="40">
        <f t="shared" si="31"/>
        <v>240.23600000000002</v>
      </c>
    </row>
    <row r="81" spans="1:13" x14ac:dyDescent="0.25">
      <c r="A81" s="30">
        <v>42</v>
      </c>
      <c r="B81" s="31" t="s">
        <v>78</v>
      </c>
      <c r="C81" s="31"/>
      <c r="D81" s="31"/>
      <c r="E81" s="31"/>
      <c r="F81" s="34"/>
      <c r="G81" s="320">
        <f t="shared" ref="G81" si="33">G82</f>
        <v>1000</v>
      </c>
      <c r="H81" s="321"/>
      <c r="I81" s="320">
        <f t="shared" ref="I81" si="34">I82</f>
        <v>1000</v>
      </c>
      <c r="J81" s="321"/>
      <c r="K81" s="320">
        <f t="shared" ref="K81" si="35">K82</f>
        <v>794.81</v>
      </c>
      <c r="L81" s="321"/>
      <c r="M81" s="71">
        <f>K81/I81*100</f>
        <v>79.480999999999995</v>
      </c>
    </row>
    <row r="82" spans="1:13" x14ac:dyDescent="0.25">
      <c r="A82" s="22">
        <v>4241</v>
      </c>
      <c r="B82" s="3" t="s">
        <v>106</v>
      </c>
      <c r="C82" s="3"/>
      <c r="D82" s="3"/>
      <c r="E82" s="3"/>
      <c r="F82" s="23"/>
      <c r="G82" s="322">
        <v>1000</v>
      </c>
      <c r="H82" s="323"/>
      <c r="I82" s="322">
        <v>1000</v>
      </c>
      <c r="J82" s="323"/>
      <c r="K82" s="322">
        <v>794.81</v>
      </c>
      <c r="L82" s="323"/>
      <c r="M82" s="40">
        <f t="shared" si="31"/>
        <v>79.480999999999995</v>
      </c>
    </row>
    <row r="83" spans="1:13" x14ac:dyDescent="0.25">
      <c r="A83" s="327" t="s">
        <v>110</v>
      </c>
      <c r="B83" s="328"/>
      <c r="C83" s="328"/>
      <c r="D83" s="328"/>
      <c r="E83" s="328"/>
      <c r="F83" s="329"/>
      <c r="G83" s="332">
        <f t="shared" ref="G83:G84" si="36">G84</f>
        <v>1000</v>
      </c>
      <c r="H83" s="333"/>
      <c r="I83" s="332">
        <f t="shared" ref="I83" si="37">I84</f>
        <v>1000</v>
      </c>
      <c r="J83" s="333"/>
      <c r="K83" s="332">
        <f t="shared" ref="K83" si="38">K84</f>
        <v>0</v>
      </c>
      <c r="L83" s="333"/>
      <c r="M83" s="68">
        <f t="shared" si="31"/>
        <v>0</v>
      </c>
    </row>
    <row r="84" spans="1:13" x14ac:dyDescent="0.25">
      <c r="A84" s="30">
        <v>42</v>
      </c>
      <c r="B84" s="31" t="s">
        <v>78</v>
      </c>
      <c r="C84" s="31"/>
      <c r="D84" s="31"/>
      <c r="E84" s="31"/>
      <c r="F84" s="34"/>
      <c r="G84" s="320">
        <f t="shared" si="36"/>
        <v>1000</v>
      </c>
      <c r="H84" s="321"/>
      <c r="I84" s="320">
        <f t="shared" ref="I84" si="39">I85</f>
        <v>1000</v>
      </c>
      <c r="J84" s="321"/>
      <c r="K84" s="320">
        <f t="shared" ref="K84" si="40">K85</f>
        <v>0</v>
      </c>
      <c r="L84" s="321"/>
      <c r="M84" s="71">
        <f>K84/I84*100</f>
        <v>0</v>
      </c>
    </row>
    <row r="85" spans="1:13" x14ac:dyDescent="0.25">
      <c r="A85" s="22">
        <v>4241</v>
      </c>
      <c r="B85" s="3" t="s">
        <v>106</v>
      </c>
      <c r="C85" s="3"/>
      <c r="D85" s="3"/>
      <c r="E85" s="3"/>
      <c r="F85" s="23"/>
      <c r="G85" s="344">
        <v>1000</v>
      </c>
      <c r="H85" s="345"/>
      <c r="I85" s="344">
        <v>1000</v>
      </c>
      <c r="J85" s="345"/>
      <c r="K85" s="344"/>
      <c r="L85" s="345"/>
      <c r="M85" s="67">
        <f t="shared" si="31"/>
        <v>0</v>
      </c>
    </row>
    <row r="86" spans="1:13" x14ac:dyDescent="0.25">
      <c r="A86" s="327" t="s">
        <v>109</v>
      </c>
      <c r="B86" s="328"/>
      <c r="C86" s="328"/>
      <c r="D86" s="328"/>
      <c r="E86" s="328"/>
      <c r="F86" s="329"/>
      <c r="G86" s="332">
        <f>SUM(G87+G92)</f>
        <v>15497.11</v>
      </c>
      <c r="H86" s="333"/>
      <c r="I86" s="332">
        <f>SUM(I87+I92)</f>
        <v>15497.11</v>
      </c>
      <c r="J86" s="333"/>
      <c r="K86" s="332">
        <f>SUM(K87+K92)</f>
        <v>9574.99</v>
      </c>
      <c r="L86" s="333"/>
      <c r="M86" s="68">
        <f t="shared" si="31"/>
        <v>61.785649066180724</v>
      </c>
    </row>
    <row r="87" spans="1:13" x14ac:dyDescent="0.25">
      <c r="A87" s="16">
        <v>32</v>
      </c>
      <c r="B87" s="5" t="s">
        <v>50</v>
      </c>
      <c r="C87" s="5"/>
      <c r="D87" s="5"/>
      <c r="E87" s="5"/>
      <c r="F87" s="17"/>
      <c r="G87" s="303">
        <f>G88+G89+G90+G91</f>
        <v>8497.11</v>
      </c>
      <c r="H87" s="304"/>
      <c r="I87" s="303">
        <f t="shared" ref="I87" si="41">I88+I89+I90+I91</f>
        <v>8497.11</v>
      </c>
      <c r="J87" s="304"/>
      <c r="K87" s="303">
        <f t="shared" ref="K87" si="42">K88+K89+K90+K91</f>
        <v>2754.5299999999997</v>
      </c>
      <c r="L87" s="304"/>
      <c r="M87" s="39">
        <f>K87/I87*100</f>
        <v>32.41725716155257</v>
      </c>
    </row>
    <row r="88" spans="1:13" x14ac:dyDescent="0.25">
      <c r="A88" s="10">
        <v>3211</v>
      </c>
      <c r="B88" s="33" t="s">
        <v>52</v>
      </c>
      <c r="C88" s="33"/>
      <c r="D88" s="33"/>
      <c r="E88" s="33"/>
      <c r="F88" s="32"/>
      <c r="G88" s="167">
        <v>2000</v>
      </c>
      <c r="H88" s="168"/>
      <c r="I88" s="167">
        <v>2000</v>
      </c>
      <c r="J88" s="168"/>
      <c r="K88" s="167">
        <v>70</v>
      </c>
      <c r="L88" s="168"/>
      <c r="M88" s="67">
        <f t="shared" ref="M88:M89" si="43">K88/I88*100</f>
        <v>3.5000000000000004</v>
      </c>
    </row>
    <row r="89" spans="1:13" x14ac:dyDescent="0.25">
      <c r="A89" s="10">
        <v>3224</v>
      </c>
      <c r="B89" s="4" t="s">
        <v>93</v>
      </c>
      <c r="C89" s="33"/>
      <c r="D89" s="33"/>
      <c r="E89" s="33"/>
      <c r="F89" s="32"/>
      <c r="G89" s="167">
        <v>3500</v>
      </c>
      <c r="H89" s="168"/>
      <c r="I89" s="167">
        <v>3500</v>
      </c>
      <c r="J89" s="168"/>
      <c r="K89" s="167">
        <v>2555.4699999999998</v>
      </c>
      <c r="L89" s="168"/>
      <c r="M89" s="40">
        <f t="shared" si="43"/>
        <v>73.013428571428562</v>
      </c>
    </row>
    <row r="90" spans="1:13" x14ac:dyDescent="0.25">
      <c r="A90" s="11">
        <v>3231</v>
      </c>
      <c r="B90" s="4" t="s">
        <v>62</v>
      </c>
      <c r="C90" s="4"/>
      <c r="D90" s="4"/>
      <c r="E90" s="4"/>
      <c r="F90" s="12"/>
      <c r="G90" s="167">
        <v>2000</v>
      </c>
      <c r="H90" s="168"/>
      <c r="I90" s="167">
        <v>2000</v>
      </c>
      <c r="J90" s="168"/>
      <c r="K90" s="167"/>
      <c r="L90" s="168"/>
      <c r="M90" s="40">
        <f t="shared" si="31"/>
        <v>0</v>
      </c>
    </row>
    <row r="91" spans="1:13" x14ac:dyDescent="0.25">
      <c r="A91" s="11">
        <v>3299</v>
      </c>
      <c r="B91" s="4" t="s">
        <v>69</v>
      </c>
      <c r="C91" s="4"/>
      <c r="D91" s="4"/>
      <c r="E91" s="4"/>
      <c r="F91" s="12"/>
      <c r="G91" s="169">
        <v>997.11</v>
      </c>
      <c r="H91" s="170"/>
      <c r="I91" s="169">
        <v>997.11</v>
      </c>
      <c r="J91" s="170"/>
      <c r="K91" s="169">
        <v>129.06</v>
      </c>
      <c r="L91" s="170"/>
      <c r="M91" s="40">
        <f t="shared" si="31"/>
        <v>12.943406444624966</v>
      </c>
    </row>
    <row r="92" spans="1:13" x14ac:dyDescent="0.25">
      <c r="A92" s="30">
        <v>42</v>
      </c>
      <c r="B92" s="31" t="s">
        <v>78</v>
      </c>
      <c r="C92" s="31"/>
      <c r="D92" s="31"/>
      <c r="E92" s="31"/>
      <c r="F92" s="34"/>
      <c r="G92" s="320">
        <f>SUM(G93:H94)</f>
        <v>7000</v>
      </c>
      <c r="H92" s="321"/>
      <c r="I92" s="320">
        <f>SUM(I93:J94)</f>
        <v>7000</v>
      </c>
      <c r="J92" s="321"/>
      <c r="K92" s="320">
        <f>SUM(K93:L94)</f>
        <v>6820.46</v>
      </c>
      <c r="L92" s="321"/>
      <c r="M92" s="71">
        <f>K92/I92*100</f>
        <v>97.43514285714285</v>
      </c>
    </row>
    <row r="93" spans="1:13" x14ac:dyDescent="0.25">
      <c r="A93" s="22">
        <v>4221</v>
      </c>
      <c r="B93" s="4" t="s">
        <v>90</v>
      </c>
      <c r="C93" s="4"/>
      <c r="D93" s="4"/>
      <c r="E93" s="4"/>
      <c r="F93" s="12"/>
      <c r="G93" s="322">
        <v>3000</v>
      </c>
      <c r="H93" s="323"/>
      <c r="I93" s="322">
        <v>3000</v>
      </c>
      <c r="J93" s="323"/>
      <c r="K93" s="322">
        <v>5327.33</v>
      </c>
      <c r="L93" s="323"/>
      <c r="M93" s="40">
        <f t="shared" si="31"/>
        <v>177.57766666666666</v>
      </c>
    </row>
    <row r="94" spans="1:13" s="87" customFormat="1" x14ac:dyDescent="0.25">
      <c r="A94" s="11">
        <v>4227</v>
      </c>
      <c r="B94" s="3" t="s">
        <v>80</v>
      </c>
      <c r="C94" s="4"/>
      <c r="D94" s="4"/>
      <c r="E94" s="4"/>
      <c r="F94" s="12"/>
      <c r="G94" s="169">
        <v>4000</v>
      </c>
      <c r="H94" s="170"/>
      <c r="I94" s="169">
        <v>4000</v>
      </c>
      <c r="J94" s="170"/>
      <c r="K94" s="169">
        <v>1493.13</v>
      </c>
      <c r="L94" s="170"/>
      <c r="M94" s="40">
        <f t="shared" si="31"/>
        <v>37.328250000000004</v>
      </c>
    </row>
    <row r="95" spans="1:13" x14ac:dyDescent="0.25">
      <c r="A95" s="327" t="s">
        <v>111</v>
      </c>
      <c r="B95" s="328"/>
      <c r="C95" s="328"/>
      <c r="D95" s="328"/>
      <c r="E95" s="328"/>
      <c r="F95" s="329"/>
      <c r="G95" s="330">
        <f>G97</f>
        <v>0</v>
      </c>
      <c r="H95" s="331"/>
      <c r="I95" s="330">
        <f t="shared" ref="I95" si="44">I97</f>
        <v>1200</v>
      </c>
      <c r="J95" s="331"/>
      <c r="K95" s="330">
        <f t="shared" ref="K95" si="45">K97</f>
        <v>1194.5899999999999</v>
      </c>
      <c r="L95" s="331"/>
      <c r="M95" s="336">
        <f t="shared" ref="M95:M96" si="46">K95/I95*100</f>
        <v>99.54916666666665</v>
      </c>
    </row>
    <row r="96" spans="1:13" x14ac:dyDescent="0.25">
      <c r="A96" s="324" t="s">
        <v>102</v>
      </c>
      <c r="B96" s="325"/>
      <c r="C96" s="325"/>
      <c r="D96" s="325"/>
      <c r="E96" s="325"/>
      <c r="F96" s="326"/>
      <c r="G96" s="332"/>
      <c r="H96" s="333"/>
      <c r="I96" s="332"/>
      <c r="J96" s="333"/>
      <c r="K96" s="332"/>
      <c r="L96" s="333"/>
      <c r="M96" s="337" t="e">
        <f t="shared" si="46"/>
        <v>#DIV/0!</v>
      </c>
    </row>
    <row r="97" spans="1:13" x14ac:dyDescent="0.25">
      <c r="A97" s="30">
        <v>32</v>
      </c>
      <c r="B97" s="31" t="s">
        <v>50</v>
      </c>
      <c r="C97" s="31"/>
      <c r="D97" s="31"/>
      <c r="E97" s="31"/>
      <c r="F97" s="34"/>
      <c r="G97" s="320">
        <f>G98</f>
        <v>0</v>
      </c>
      <c r="H97" s="321"/>
      <c r="I97" s="320">
        <f>I98</f>
        <v>1200</v>
      </c>
      <c r="J97" s="321"/>
      <c r="K97" s="320">
        <f>K98</f>
        <v>1194.5899999999999</v>
      </c>
      <c r="L97" s="321"/>
      <c r="M97" s="71">
        <f>K97/I97*100</f>
        <v>99.54916666666665</v>
      </c>
    </row>
    <row r="98" spans="1:13" s="87" customFormat="1" x14ac:dyDescent="0.25">
      <c r="A98" s="11">
        <v>3221</v>
      </c>
      <c r="B98" s="4" t="s">
        <v>148</v>
      </c>
      <c r="C98" s="4"/>
      <c r="D98" s="4"/>
      <c r="E98" s="4"/>
      <c r="F98" s="12"/>
      <c r="G98" s="169"/>
      <c r="H98" s="170"/>
      <c r="I98" s="169">
        <v>1200</v>
      </c>
      <c r="J98" s="170"/>
      <c r="K98" s="169">
        <v>1194.5899999999999</v>
      </c>
      <c r="L98" s="170"/>
      <c r="M98" s="40">
        <f>K98/I98*100</f>
        <v>99.54916666666665</v>
      </c>
    </row>
    <row r="99" spans="1:13" x14ac:dyDescent="0.25">
      <c r="A99" s="327" t="s">
        <v>149</v>
      </c>
      <c r="B99" s="328"/>
      <c r="C99" s="328"/>
      <c r="D99" s="328"/>
      <c r="E99" s="328"/>
      <c r="F99" s="329"/>
      <c r="G99" s="330">
        <f t="shared" ref="G99" si="47">G101</f>
        <v>0</v>
      </c>
      <c r="H99" s="331"/>
      <c r="I99" s="330">
        <f t="shared" ref="I99" si="48">I101</f>
        <v>730.02</v>
      </c>
      <c r="J99" s="331"/>
      <c r="K99" s="330">
        <f t="shared" ref="K99" si="49">K101</f>
        <v>730.02</v>
      </c>
      <c r="L99" s="331"/>
      <c r="M99" s="336">
        <f t="shared" ref="M99:M100" si="50">K99/I99*100</f>
        <v>100</v>
      </c>
    </row>
    <row r="100" spans="1:13" x14ac:dyDescent="0.25">
      <c r="A100" s="324" t="s">
        <v>150</v>
      </c>
      <c r="B100" s="325"/>
      <c r="C100" s="325"/>
      <c r="D100" s="325"/>
      <c r="E100" s="325"/>
      <c r="F100" s="326"/>
      <c r="G100" s="332"/>
      <c r="H100" s="333"/>
      <c r="I100" s="332"/>
      <c r="J100" s="333"/>
      <c r="K100" s="332"/>
      <c r="L100" s="333"/>
      <c r="M100" s="337" t="e">
        <f t="shared" si="50"/>
        <v>#DIV/0!</v>
      </c>
    </row>
    <row r="101" spans="1:13" x14ac:dyDescent="0.25">
      <c r="A101" s="30">
        <v>32</v>
      </c>
      <c r="B101" s="31" t="s">
        <v>50</v>
      </c>
      <c r="C101" s="31"/>
      <c r="D101" s="31"/>
      <c r="E101" s="31"/>
      <c r="F101" s="34"/>
      <c r="G101" s="320">
        <f t="shared" ref="G101" si="51">G102</f>
        <v>0</v>
      </c>
      <c r="H101" s="321"/>
      <c r="I101" s="320">
        <f t="shared" ref="I101" si="52">I102</f>
        <v>730.02</v>
      </c>
      <c r="J101" s="321"/>
      <c r="K101" s="320">
        <f t="shared" ref="K101" si="53">K102</f>
        <v>730.02</v>
      </c>
      <c r="L101" s="321"/>
      <c r="M101" s="71">
        <f>K101/I101*100</f>
        <v>100</v>
      </c>
    </row>
    <row r="102" spans="1:13" x14ac:dyDescent="0.25">
      <c r="A102" s="22">
        <v>3237</v>
      </c>
      <c r="B102" s="3" t="s">
        <v>151</v>
      </c>
      <c r="C102" s="3"/>
      <c r="D102" s="3"/>
      <c r="E102" s="3"/>
      <c r="F102" s="23"/>
      <c r="G102" s="344"/>
      <c r="H102" s="345"/>
      <c r="I102" s="344">
        <v>730.02</v>
      </c>
      <c r="J102" s="345"/>
      <c r="K102" s="344">
        <v>730.02</v>
      </c>
      <c r="L102" s="345"/>
      <c r="M102" s="67">
        <f>K102/I102*100</f>
        <v>100</v>
      </c>
    </row>
    <row r="103" spans="1:13" s="87" customFormat="1" x14ac:dyDescent="0.25">
      <c r="A103" s="327" t="s">
        <v>229</v>
      </c>
      <c r="B103" s="328"/>
      <c r="C103" s="328"/>
      <c r="D103" s="328"/>
      <c r="E103" s="328"/>
      <c r="F103" s="329"/>
      <c r="G103" s="330">
        <f t="shared" ref="G103" si="54">G105</f>
        <v>0</v>
      </c>
      <c r="H103" s="331"/>
      <c r="I103" s="330">
        <f t="shared" ref="I103" si="55">I105</f>
        <v>2000</v>
      </c>
      <c r="J103" s="331"/>
      <c r="K103" s="330">
        <f t="shared" ref="K103" si="56">K105</f>
        <v>2000</v>
      </c>
      <c r="L103" s="331"/>
      <c r="M103" s="336">
        <f t="shared" ref="M103:M104" si="57">K103/I103*100</f>
        <v>100</v>
      </c>
    </row>
    <row r="104" spans="1:13" s="87" customFormat="1" x14ac:dyDescent="0.25">
      <c r="A104" s="324" t="s">
        <v>150</v>
      </c>
      <c r="B104" s="325"/>
      <c r="C104" s="325"/>
      <c r="D104" s="325"/>
      <c r="E104" s="325"/>
      <c r="F104" s="326"/>
      <c r="G104" s="332"/>
      <c r="H104" s="333"/>
      <c r="I104" s="332"/>
      <c r="J104" s="333"/>
      <c r="K104" s="332"/>
      <c r="L104" s="333"/>
      <c r="M104" s="337" t="e">
        <f t="shared" si="57"/>
        <v>#DIV/0!</v>
      </c>
    </row>
    <row r="105" spans="1:13" s="87" customFormat="1" x14ac:dyDescent="0.25">
      <c r="A105" s="30">
        <v>32</v>
      </c>
      <c r="B105" s="31" t="s">
        <v>50</v>
      </c>
      <c r="C105" s="31"/>
      <c r="D105" s="31"/>
      <c r="E105" s="31"/>
      <c r="F105" s="34"/>
      <c r="G105" s="320">
        <f t="shared" ref="G105" si="58">G106</f>
        <v>0</v>
      </c>
      <c r="H105" s="321"/>
      <c r="I105" s="320">
        <f t="shared" ref="I105" si="59">I106</f>
        <v>2000</v>
      </c>
      <c r="J105" s="321"/>
      <c r="K105" s="320">
        <f t="shared" ref="K105" si="60">K106</f>
        <v>2000</v>
      </c>
      <c r="L105" s="321"/>
      <c r="M105" s="99">
        <f>K105/I105*100</f>
        <v>100</v>
      </c>
    </row>
    <row r="106" spans="1:13" s="87" customFormat="1" x14ac:dyDescent="0.25">
      <c r="A106" s="11">
        <v>3237</v>
      </c>
      <c r="B106" s="4" t="s">
        <v>66</v>
      </c>
      <c r="C106" s="4"/>
      <c r="D106" s="4"/>
      <c r="E106" s="4"/>
      <c r="F106" s="12"/>
      <c r="G106" s="169"/>
      <c r="H106" s="170"/>
      <c r="I106" s="169">
        <v>2000</v>
      </c>
      <c r="J106" s="170"/>
      <c r="K106" s="169">
        <v>2000</v>
      </c>
      <c r="L106" s="170"/>
      <c r="M106" s="40">
        <f t="shared" ref="M106" si="61">K106/I106*100</f>
        <v>100</v>
      </c>
    </row>
    <row r="107" spans="1:13" x14ac:dyDescent="0.25">
      <c r="A107" s="327" t="s">
        <v>152</v>
      </c>
      <c r="B107" s="328"/>
      <c r="C107" s="328"/>
      <c r="D107" s="328"/>
      <c r="E107" s="328"/>
      <c r="F107" s="329"/>
      <c r="G107" s="330">
        <f t="shared" ref="G107" si="62">G109</f>
        <v>0</v>
      </c>
      <c r="H107" s="331"/>
      <c r="I107" s="330">
        <f t="shared" ref="I107" si="63">I109</f>
        <v>1426.5</v>
      </c>
      <c r="J107" s="331"/>
      <c r="K107" s="330">
        <f t="shared" ref="K107" si="64">K109</f>
        <v>1426.5</v>
      </c>
      <c r="L107" s="331"/>
      <c r="M107" s="336">
        <f t="shared" ref="M107:M108" si="65">K107/I107*100</f>
        <v>100</v>
      </c>
    </row>
    <row r="108" spans="1:13" x14ac:dyDescent="0.25">
      <c r="A108" s="324" t="s">
        <v>153</v>
      </c>
      <c r="B108" s="325"/>
      <c r="C108" s="325"/>
      <c r="D108" s="325"/>
      <c r="E108" s="325"/>
      <c r="F108" s="326"/>
      <c r="G108" s="332"/>
      <c r="H108" s="333"/>
      <c r="I108" s="332"/>
      <c r="J108" s="333"/>
      <c r="K108" s="332"/>
      <c r="L108" s="333"/>
      <c r="M108" s="337" t="e">
        <f t="shared" si="65"/>
        <v>#DIV/0!</v>
      </c>
    </row>
    <row r="109" spans="1:13" x14ac:dyDescent="0.25">
      <c r="A109" s="30">
        <v>38</v>
      </c>
      <c r="B109" s="31" t="s">
        <v>141</v>
      </c>
      <c r="C109" s="31"/>
      <c r="D109" s="31"/>
      <c r="E109" s="31"/>
      <c r="F109" s="34"/>
      <c r="G109" s="320">
        <f t="shared" ref="G109" si="66">G110</f>
        <v>0</v>
      </c>
      <c r="H109" s="321"/>
      <c r="I109" s="320">
        <f t="shared" ref="I109" si="67">I110</f>
        <v>1426.5</v>
      </c>
      <c r="J109" s="321"/>
      <c r="K109" s="320">
        <f t="shared" ref="K109" si="68">K110</f>
        <v>1426.5</v>
      </c>
      <c r="L109" s="321"/>
      <c r="M109" s="71">
        <f>K109/I109*100</f>
        <v>100</v>
      </c>
    </row>
    <row r="110" spans="1:13" x14ac:dyDescent="0.25">
      <c r="A110" s="22">
        <v>3812</v>
      </c>
      <c r="B110" s="3" t="s">
        <v>185</v>
      </c>
      <c r="C110" s="3"/>
      <c r="D110" s="3"/>
      <c r="E110" s="3"/>
      <c r="F110" s="23"/>
      <c r="G110" s="344"/>
      <c r="H110" s="345"/>
      <c r="I110" s="344">
        <v>1426.5</v>
      </c>
      <c r="J110" s="345"/>
      <c r="K110" s="344">
        <v>1426.5</v>
      </c>
      <c r="L110" s="345"/>
      <c r="M110" s="67">
        <f>K110/I110*100</f>
        <v>100</v>
      </c>
    </row>
    <row r="111" spans="1:13" x14ac:dyDescent="0.25">
      <c r="A111" s="354" t="s">
        <v>113</v>
      </c>
      <c r="B111" s="355"/>
      <c r="C111" s="355"/>
      <c r="D111" s="355"/>
      <c r="E111" s="355"/>
      <c r="F111" s="356"/>
      <c r="G111" s="346">
        <f t="shared" ref="G111" si="69">G112</f>
        <v>0</v>
      </c>
      <c r="H111" s="347"/>
      <c r="I111" s="346">
        <f t="shared" ref="I111" si="70">I112</f>
        <v>16537.650000000001</v>
      </c>
      <c r="J111" s="347"/>
      <c r="K111" s="346">
        <f t="shared" ref="K111" si="71">K112</f>
        <v>16537.650000000001</v>
      </c>
      <c r="L111" s="347"/>
      <c r="M111" s="44">
        <f>K111/I111*100</f>
        <v>100</v>
      </c>
    </row>
    <row r="112" spans="1:13" x14ac:dyDescent="0.25">
      <c r="A112" s="324" t="s">
        <v>114</v>
      </c>
      <c r="B112" s="325"/>
      <c r="C112" s="325"/>
      <c r="D112" s="325"/>
      <c r="E112" s="325"/>
      <c r="F112" s="326"/>
      <c r="G112" s="348">
        <f t="shared" ref="G112" si="72">G114+G118</f>
        <v>0</v>
      </c>
      <c r="H112" s="349"/>
      <c r="I112" s="348">
        <f t="shared" ref="I112" si="73">I114+I118</f>
        <v>16537.650000000001</v>
      </c>
      <c r="J112" s="349"/>
      <c r="K112" s="348">
        <f t="shared" ref="K112" si="74">K114+K118</f>
        <v>16537.650000000001</v>
      </c>
      <c r="L112" s="349"/>
      <c r="M112" s="337">
        <f t="shared" ref="M112:M113" si="75">K112/I112*100</f>
        <v>100</v>
      </c>
    </row>
    <row r="113" spans="1:13" x14ac:dyDescent="0.25">
      <c r="A113" s="324" t="s">
        <v>102</v>
      </c>
      <c r="B113" s="325"/>
      <c r="C113" s="325"/>
      <c r="D113" s="325"/>
      <c r="E113" s="325"/>
      <c r="F113" s="326"/>
      <c r="G113" s="332"/>
      <c r="H113" s="333"/>
      <c r="I113" s="332"/>
      <c r="J113" s="333"/>
      <c r="K113" s="332"/>
      <c r="L113" s="333"/>
      <c r="M113" s="337" t="e">
        <f t="shared" si="75"/>
        <v>#DIV/0!</v>
      </c>
    </row>
    <row r="114" spans="1:13" x14ac:dyDescent="0.25">
      <c r="A114" s="30">
        <v>31</v>
      </c>
      <c r="B114" s="31" t="s">
        <v>44</v>
      </c>
      <c r="C114" s="31"/>
      <c r="D114" s="31"/>
      <c r="E114" s="31"/>
      <c r="F114" s="34"/>
      <c r="G114" s="320">
        <f t="shared" ref="G114" si="76">G115+G116+G117</f>
        <v>0</v>
      </c>
      <c r="H114" s="321"/>
      <c r="I114" s="320">
        <f t="shared" ref="I114" si="77">I115+I116+I117</f>
        <v>15471.86</v>
      </c>
      <c r="J114" s="321"/>
      <c r="K114" s="320">
        <f t="shared" ref="K114" si="78">K115+K116+K117</f>
        <v>15471.86</v>
      </c>
      <c r="L114" s="321"/>
      <c r="M114" s="70">
        <f>K114/I114*100</f>
        <v>100</v>
      </c>
    </row>
    <row r="115" spans="1:13" x14ac:dyDescent="0.25">
      <c r="A115" s="22">
        <v>3111</v>
      </c>
      <c r="B115" s="3" t="s">
        <v>46</v>
      </c>
      <c r="C115" s="3"/>
      <c r="D115" s="3"/>
      <c r="E115" s="3"/>
      <c r="F115" s="23"/>
      <c r="G115" s="167"/>
      <c r="H115" s="168"/>
      <c r="I115" s="167">
        <v>11907.15</v>
      </c>
      <c r="J115" s="168"/>
      <c r="K115" s="167">
        <v>11907.15</v>
      </c>
      <c r="L115" s="168"/>
      <c r="M115" s="67">
        <f>K115/I115*100</f>
        <v>100</v>
      </c>
    </row>
    <row r="116" spans="1:13" x14ac:dyDescent="0.25">
      <c r="A116" s="11">
        <v>3121</v>
      </c>
      <c r="B116" s="4" t="s">
        <v>47</v>
      </c>
      <c r="C116" s="4"/>
      <c r="D116" s="4"/>
      <c r="E116" s="4"/>
      <c r="F116" s="12"/>
      <c r="G116" s="169"/>
      <c r="H116" s="170"/>
      <c r="I116" s="169">
        <v>1600</v>
      </c>
      <c r="J116" s="170"/>
      <c r="K116" s="169">
        <v>1600</v>
      </c>
      <c r="L116" s="170"/>
      <c r="M116" s="40">
        <f t="shared" ref="M116:M119" si="79">K116/I116*100</f>
        <v>100</v>
      </c>
    </row>
    <row r="117" spans="1:13" x14ac:dyDescent="0.25">
      <c r="A117" s="11">
        <v>3132</v>
      </c>
      <c r="B117" s="4" t="s">
        <v>115</v>
      </c>
      <c r="C117" s="4"/>
      <c r="D117" s="4"/>
      <c r="E117" s="4"/>
      <c r="F117" s="12"/>
      <c r="G117" s="169"/>
      <c r="H117" s="170"/>
      <c r="I117" s="169">
        <v>1964.71</v>
      </c>
      <c r="J117" s="170"/>
      <c r="K117" s="169">
        <v>1964.71</v>
      </c>
      <c r="L117" s="170"/>
      <c r="M117" s="40">
        <f t="shared" si="79"/>
        <v>100</v>
      </c>
    </row>
    <row r="118" spans="1:13" x14ac:dyDescent="0.25">
      <c r="A118" s="30">
        <v>32</v>
      </c>
      <c r="B118" s="31" t="s">
        <v>50</v>
      </c>
      <c r="C118" s="31"/>
      <c r="D118" s="31"/>
      <c r="E118" s="31"/>
      <c r="F118" s="34"/>
      <c r="G118" s="320">
        <f t="shared" ref="G118:I118" si="80">G119</f>
        <v>0</v>
      </c>
      <c r="H118" s="321"/>
      <c r="I118" s="320">
        <f t="shared" si="80"/>
        <v>1065.79</v>
      </c>
      <c r="J118" s="321"/>
      <c r="K118" s="320">
        <f>K119</f>
        <v>1065.79</v>
      </c>
      <c r="L118" s="321"/>
      <c r="M118" s="71">
        <f>K118/I118*100</f>
        <v>100</v>
      </c>
    </row>
    <row r="119" spans="1:13" x14ac:dyDescent="0.25">
      <c r="A119" s="22">
        <v>3212</v>
      </c>
      <c r="B119" s="3" t="s">
        <v>95</v>
      </c>
      <c r="C119" s="3"/>
      <c r="D119" s="3"/>
      <c r="E119" s="3"/>
      <c r="F119" s="23"/>
      <c r="G119" s="322"/>
      <c r="H119" s="323"/>
      <c r="I119" s="322">
        <v>1065.79</v>
      </c>
      <c r="J119" s="323"/>
      <c r="K119" s="322">
        <v>1065.79</v>
      </c>
      <c r="L119" s="323"/>
      <c r="M119" s="40">
        <f t="shared" si="79"/>
        <v>100</v>
      </c>
    </row>
    <row r="120" spans="1:13" x14ac:dyDescent="0.25">
      <c r="A120" s="354" t="s">
        <v>116</v>
      </c>
      <c r="B120" s="355"/>
      <c r="C120" s="355"/>
      <c r="D120" s="355"/>
      <c r="E120" s="355"/>
      <c r="F120" s="356"/>
      <c r="G120" s="346">
        <f>G121+G137</f>
        <v>5506</v>
      </c>
      <c r="H120" s="347"/>
      <c r="I120" s="346">
        <f>I121+I137</f>
        <v>23119.109999999997</v>
      </c>
      <c r="J120" s="347"/>
      <c r="K120" s="346">
        <f>K121+K137</f>
        <v>11542.99</v>
      </c>
      <c r="L120" s="347"/>
      <c r="M120" s="44">
        <f t="shared" ref="M120" si="81">K120/I120*100</f>
        <v>49.928349317945205</v>
      </c>
    </row>
    <row r="121" spans="1:13" x14ac:dyDescent="0.25">
      <c r="A121" s="369" t="s">
        <v>117</v>
      </c>
      <c r="B121" s="370"/>
      <c r="C121" s="370"/>
      <c r="D121" s="370"/>
      <c r="E121" s="370"/>
      <c r="F121" s="371"/>
      <c r="G121" s="334">
        <f>G125+G135</f>
        <v>0</v>
      </c>
      <c r="H121" s="335"/>
      <c r="I121" s="334">
        <f>I125+I135</f>
        <v>17613.109999999997</v>
      </c>
      <c r="J121" s="335"/>
      <c r="K121" s="334">
        <f>K125+K135</f>
        <v>11542.99</v>
      </c>
      <c r="L121" s="335"/>
      <c r="M121" s="337">
        <f>K121/I121*100</f>
        <v>65.53635331863596</v>
      </c>
    </row>
    <row r="122" spans="1:13" x14ac:dyDescent="0.25">
      <c r="A122" s="360" t="s">
        <v>231</v>
      </c>
      <c r="B122" s="361"/>
      <c r="C122" s="361"/>
      <c r="D122" s="361"/>
      <c r="E122" s="361"/>
      <c r="F122" s="362"/>
      <c r="G122" s="334"/>
      <c r="H122" s="335"/>
      <c r="I122" s="334"/>
      <c r="J122" s="335"/>
      <c r="K122" s="334"/>
      <c r="L122" s="335"/>
      <c r="M122" s="337"/>
    </row>
    <row r="123" spans="1:13" x14ac:dyDescent="0.25">
      <c r="A123" s="366" t="s">
        <v>232</v>
      </c>
      <c r="B123" s="367"/>
      <c r="C123" s="367"/>
      <c r="D123" s="367"/>
      <c r="E123" s="367"/>
      <c r="F123" s="368"/>
      <c r="G123" s="334"/>
      <c r="H123" s="335"/>
      <c r="I123" s="334"/>
      <c r="J123" s="335"/>
      <c r="K123" s="334"/>
      <c r="L123" s="335"/>
      <c r="M123" s="337"/>
    </row>
    <row r="124" spans="1:13" x14ac:dyDescent="0.25">
      <c r="A124" s="48" t="s">
        <v>233</v>
      </c>
      <c r="B124" s="49"/>
      <c r="C124" s="49"/>
      <c r="D124" s="49"/>
      <c r="E124" s="49"/>
      <c r="F124" s="50"/>
      <c r="G124" s="334"/>
      <c r="H124" s="335"/>
      <c r="I124" s="334"/>
      <c r="J124" s="335"/>
      <c r="K124" s="334"/>
      <c r="L124" s="335"/>
      <c r="M124" s="337"/>
    </row>
    <row r="125" spans="1:13" x14ac:dyDescent="0.25">
      <c r="A125" s="30">
        <v>31</v>
      </c>
      <c r="B125" s="31" t="s">
        <v>44</v>
      </c>
      <c r="C125" s="31"/>
      <c r="D125" s="31"/>
      <c r="E125" s="31"/>
      <c r="F125" s="34"/>
      <c r="G125" s="320">
        <f>SUM(G126:H134)</f>
        <v>0</v>
      </c>
      <c r="H125" s="321"/>
      <c r="I125" s="320">
        <f>SUM(I126:J134)</f>
        <v>17191.019999999997</v>
      </c>
      <c r="J125" s="321"/>
      <c r="K125" s="320">
        <f>SUM(K126:L134)</f>
        <v>11120.9</v>
      </c>
      <c r="L125" s="321"/>
      <c r="M125" s="70">
        <f>K125/I125*100</f>
        <v>64.690169635076927</v>
      </c>
    </row>
    <row r="126" spans="1:13" ht="15" customHeight="1" x14ac:dyDescent="0.25">
      <c r="A126" s="10">
        <v>3111</v>
      </c>
      <c r="B126" s="33" t="s">
        <v>46</v>
      </c>
      <c r="C126" s="33"/>
      <c r="D126" s="33"/>
      <c r="E126" s="33"/>
      <c r="F126" s="32" t="s">
        <v>135</v>
      </c>
      <c r="G126" s="167"/>
      <c r="H126" s="168"/>
      <c r="I126" s="167">
        <f>1874.47+3546.68</f>
        <v>5421.15</v>
      </c>
      <c r="J126" s="168"/>
      <c r="K126" s="167">
        <f>888.41+3546.68</f>
        <v>4435.09</v>
      </c>
      <c r="L126" s="168"/>
      <c r="M126" s="67">
        <f>K126/I126*100</f>
        <v>81.810870387279451</v>
      </c>
    </row>
    <row r="127" spans="1:13" x14ac:dyDescent="0.25">
      <c r="A127" s="10">
        <v>3111</v>
      </c>
      <c r="B127" s="33" t="s">
        <v>46</v>
      </c>
      <c r="C127" s="33"/>
      <c r="D127" s="33"/>
      <c r="E127" s="33"/>
      <c r="F127" s="32" t="s">
        <v>137</v>
      </c>
      <c r="G127" s="167"/>
      <c r="H127" s="168"/>
      <c r="I127" s="167">
        <f>480.82+1639.58</f>
        <v>2120.4</v>
      </c>
      <c r="J127" s="168"/>
      <c r="K127" s="167">
        <f>480.82+1639.58</f>
        <v>2120.4</v>
      </c>
      <c r="L127" s="168"/>
      <c r="M127" s="40">
        <f t="shared" ref="M127:M128" si="82">K127/I127*100</f>
        <v>100</v>
      </c>
    </row>
    <row r="128" spans="1:13" s="87" customFormat="1" x14ac:dyDescent="0.25">
      <c r="A128" s="10">
        <v>3111</v>
      </c>
      <c r="B128" s="33" t="s">
        <v>46</v>
      </c>
      <c r="C128" s="33"/>
      <c r="D128" s="33"/>
      <c r="E128" s="33"/>
      <c r="F128" s="32" t="s">
        <v>230</v>
      </c>
      <c r="G128" s="167"/>
      <c r="H128" s="168"/>
      <c r="I128" s="167">
        <v>1874.47</v>
      </c>
      <c r="J128" s="168"/>
      <c r="K128" s="167">
        <v>1874.47</v>
      </c>
      <c r="L128" s="168"/>
      <c r="M128" s="40">
        <f t="shared" si="82"/>
        <v>100</v>
      </c>
    </row>
    <row r="129" spans="1:13" x14ac:dyDescent="0.25">
      <c r="A129" s="11">
        <v>3111</v>
      </c>
      <c r="B129" s="4" t="s">
        <v>46</v>
      </c>
      <c r="C129" s="4"/>
      <c r="D129" s="4"/>
      <c r="E129" s="4"/>
      <c r="F129" s="12" t="s">
        <v>136</v>
      </c>
      <c r="G129" s="167"/>
      <c r="H129" s="168"/>
      <c r="I129" s="167">
        <f>888.41+3546.68</f>
        <v>4435.09</v>
      </c>
      <c r="J129" s="168"/>
      <c r="K129" s="167">
        <f>0</f>
        <v>0</v>
      </c>
      <c r="L129" s="168"/>
      <c r="M129" s="40">
        <f t="shared" ref="M129" si="83">K129/I129*100</f>
        <v>0</v>
      </c>
    </row>
    <row r="130" spans="1:13" x14ac:dyDescent="0.25">
      <c r="A130" s="11">
        <v>3121</v>
      </c>
      <c r="B130" s="4" t="s">
        <v>47</v>
      </c>
      <c r="C130" s="4"/>
      <c r="D130" s="4"/>
      <c r="E130" s="4"/>
      <c r="F130" s="12" t="s">
        <v>137</v>
      </c>
      <c r="G130" s="169"/>
      <c r="H130" s="170"/>
      <c r="I130" s="169">
        <v>1300</v>
      </c>
      <c r="J130" s="170"/>
      <c r="K130" s="169">
        <v>1300</v>
      </c>
      <c r="L130" s="170"/>
      <c r="M130" s="40">
        <f t="shared" ref="M130" si="84">K130/I130*100</f>
        <v>100</v>
      </c>
    </row>
    <row r="131" spans="1:13" x14ac:dyDescent="0.25">
      <c r="A131" s="11">
        <v>3132</v>
      </c>
      <c r="B131" s="4" t="s">
        <v>142</v>
      </c>
      <c r="C131" s="4"/>
      <c r="D131" s="4"/>
      <c r="E131" s="4"/>
      <c r="F131" s="12" t="s">
        <v>134</v>
      </c>
      <c r="G131" s="169"/>
      <c r="H131" s="170"/>
      <c r="I131" s="169">
        <f>309.29+339.68</f>
        <v>648.97</v>
      </c>
      <c r="J131" s="170"/>
      <c r="K131" s="169">
        <f>83.36+339.68</f>
        <v>423.04</v>
      </c>
      <c r="L131" s="170"/>
      <c r="M131" s="40">
        <f t="shared" ref="M131:M133" si="85">K131/I131*100</f>
        <v>65.186372251413786</v>
      </c>
    </row>
    <row r="132" spans="1:13" x14ac:dyDescent="0.25">
      <c r="A132" s="11">
        <v>3132</v>
      </c>
      <c r="B132" s="4" t="s">
        <v>48</v>
      </c>
      <c r="C132" s="4"/>
      <c r="D132" s="4"/>
      <c r="E132" s="4"/>
      <c r="F132" s="12" t="s">
        <v>137</v>
      </c>
      <c r="G132" s="169"/>
      <c r="H132" s="170"/>
      <c r="I132" s="169">
        <f>79.34+516.05</f>
        <v>595.39</v>
      </c>
      <c r="J132" s="170"/>
      <c r="K132" s="169">
        <f>79.34+516.05</f>
        <v>595.39</v>
      </c>
      <c r="L132" s="170"/>
      <c r="M132" s="40">
        <f t="shared" si="85"/>
        <v>100</v>
      </c>
    </row>
    <row r="133" spans="1:13" s="87" customFormat="1" x14ac:dyDescent="0.25">
      <c r="A133" s="11">
        <v>3132</v>
      </c>
      <c r="B133" s="4" t="s">
        <v>48</v>
      </c>
      <c r="C133" s="4"/>
      <c r="D133" s="4"/>
      <c r="E133" s="4"/>
      <c r="F133" s="12" t="s">
        <v>230</v>
      </c>
      <c r="G133" s="169"/>
      <c r="H133" s="170"/>
      <c r="I133" s="169">
        <f>309.29</f>
        <v>309.29000000000002</v>
      </c>
      <c r="J133" s="170"/>
      <c r="K133" s="169">
        <v>372.51</v>
      </c>
      <c r="L133" s="170"/>
      <c r="M133" s="40">
        <f t="shared" si="85"/>
        <v>120.4403634129781</v>
      </c>
    </row>
    <row r="134" spans="1:13" x14ac:dyDescent="0.25">
      <c r="A134" s="11">
        <v>3132</v>
      </c>
      <c r="B134" s="4" t="s">
        <v>48</v>
      </c>
      <c r="C134" s="4"/>
      <c r="D134" s="4"/>
      <c r="E134" s="4"/>
      <c r="F134" s="12" t="s">
        <v>136</v>
      </c>
      <c r="G134" s="169"/>
      <c r="H134" s="170"/>
      <c r="I134" s="169">
        <f>146.58+339.68</f>
        <v>486.26</v>
      </c>
      <c r="J134" s="170"/>
      <c r="K134" s="169">
        <v>0</v>
      </c>
      <c r="L134" s="170"/>
      <c r="M134" s="40">
        <f t="shared" ref="M134" si="86">K134/I134*100</f>
        <v>0</v>
      </c>
    </row>
    <row r="135" spans="1:13" x14ac:dyDescent="0.25">
      <c r="A135" s="30">
        <v>32</v>
      </c>
      <c r="B135" s="31" t="s">
        <v>50</v>
      </c>
      <c r="C135" s="31"/>
      <c r="D135" s="31"/>
      <c r="E135" s="31"/>
      <c r="F135" s="34"/>
      <c r="G135" s="320">
        <f t="shared" ref="G135" si="87">G136</f>
        <v>0</v>
      </c>
      <c r="H135" s="321"/>
      <c r="I135" s="320">
        <f t="shared" ref="I135" si="88">I136</f>
        <v>422.09</v>
      </c>
      <c r="J135" s="321"/>
      <c r="K135" s="320">
        <f t="shared" ref="K135" si="89">K136</f>
        <v>422.09</v>
      </c>
      <c r="L135" s="321"/>
      <c r="M135" s="71">
        <f>K135/I135*100</f>
        <v>100</v>
      </c>
    </row>
    <row r="136" spans="1:13" x14ac:dyDescent="0.25">
      <c r="A136" s="22">
        <v>3212</v>
      </c>
      <c r="B136" s="25" t="s">
        <v>118</v>
      </c>
      <c r="C136" s="3"/>
      <c r="D136" s="3"/>
      <c r="E136" s="3"/>
      <c r="F136" s="23" t="s">
        <v>137</v>
      </c>
      <c r="G136" s="322"/>
      <c r="H136" s="323"/>
      <c r="I136" s="322">
        <v>422.09</v>
      </c>
      <c r="J136" s="323"/>
      <c r="K136" s="322">
        <v>422.09</v>
      </c>
      <c r="L136" s="323"/>
      <c r="M136" s="40">
        <f t="shared" ref="M136:M137" si="90">K136/I136*100</f>
        <v>100</v>
      </c>
    </row>
    <row r="137" spans="1:13" x14ac:dyDescent="0.25">
      <c r="A137" s="363" t="s">
        <v>119</v>
      </c>
      <c r="B137" s="364"/>
      <c r="C137" s="364"/>
      <c r="D137" s="364"/>
      <c r="E137" s="364"/>
      <c r="F137" s="365"/>
      <c r="G137" s="332">
        <f>G139</f>
        <v>5506</v>
      </c>
      <c r="H137" s="333"/>
      <c r="I137" s="332">
        <f>I139</f>
        <v>5506</v>
      </c>
      <c r="J137" s="333"/>
      <c r="K137" s="332">
        <f t="shared" ref="K137" si="91">K139</f>
        <v>0</v>
      </c>
      <c r="L137" s="333"/>
      <c r="M137" s="336">
        <f t="shared" si="90"/>
        <v>0</v>
      </c>
    </row>
    <row r="138" spans="1:13" x14ac:dyDescent="0.25">
      <c r="A138" s="360" t="s">
        <v>234</v>
      </c>
      <c r="B138" s="361"/>
      <c r="C138" s="361"/>
      <c r="D138" s="361"/>
      <c r="E138" s="361"/>
      <c r="F138" s="362"/>
      <c r="G138" s="334"/>
      <c r="H138" s="335"/>
      <c r="I138" s="334"/>
      <c r="J138" s="335"/>
      <c r="K138" s="334"/>
      <c r="L138" s="335"/>
      <c r="M138" s="337"/>
    </row>
    <row r="139" spans="1:13" x14ac:dyDescent="0.25">
      <c r="A139" s="30">
        <v>32</v>
      </c>
      <c r="B139" s="31" t="s">
        <v>50</v>
      </c>
      <c r="C139" s="31"/>
      <c r="D139" s="31"/>
      <c r="E139" s="31"/>
      <c r="F139" s="34"/>
      <c r="G139" s="320">
        <f>G140</f>
        <v>5506</v>
      </c>
      <c r="H139" s="321"/>
      <c r="I139" s="320">
        <f>I140</f>
        <v>5506</v>
      </c>
      <c r="J139" s="321"/>
      <c r="K139" s="320">
        <f>K140</f>
        <v>0</v>
      </c>
      <c r="L139" s="321"/>
      <c r="M139" s="71">
        <f>K139/I139*100</f>
        <v>0</v>
      </c>
    </row>
    <row r="140" spans="1:13" ht="15.75" thickBot="1" x14ac:dyDescent="0.3">
      <c r="A140" s="35">
        <v>3299</v>
      </c>
      <c r="B140" s="36" t="s">
        <v>69</v>
      </c>
      <c r="C140" s="37"/>
      <c r="D140" s="37"/>
      <c r="E140" s="37"/>
      <c r="F140" s="51"/>
      <c r="G140" s="299">
        <v>5506</v>
      </c>
      <c r="H140" s="300"/>
      <c r="I140" s="299">
        <v>5506</v>
      </c>
      <c r="J140" s="300"/>
      <c r="K140" s="299">
        <v>0</v>
      </c>
      <c r="L140" s="300"/>
      <c r="M140" s="41">
        <f>K140/I140*100</f>
        <v>0</v>
      </c>
    </row>
    <row r="141" spans="1:13" x14ac:dyDescent="0.25">
      <c r="F141" s="52"/>
    </row>
  </sheetData>
  <customSheetViews>
    <customSheetView guid="{005C429F-8448-44DF-83AD-8A930973E873}" topLeftCell="A22">
      <selection activeCell="G131" sqref="G131:H131"/>
      <rowBreaks count="1" manualBreakCount="1">
        <brk id="54" max="16383" man="1"/>
      </rowBreaks>
      <pageMargins left="0.7" right="0.7" top="0.75" bottom="0.75" header="0.3" footer="0.3"/>
      <pageSetup paperSize="9" scale="63" orientation="portrait" r:id="rId1"/>
    </customSheetView>
  </customSheetViews>
  <mergeCells count="399">
    <mergeCell ref="G22:H22"/>
    <mergeCell ref="G23:H23"/>
    <mergeCell ref="G24:H24"/>
    <mergeCell ref="G40:H40"/>
    <mergeCell ref="G41:H41"/>
    <mergeCell ref="G33:H33"/>
    <mergeCell ref="G34:H34"/>
    <mergeCell ref="G35:H35"/>
    <mergeCell ref="G36:H36"/>
    <mergeCell ref="G37:H37"/>
    <mergeCell ref="G38:H38"/>
    <mergeCell ref="G39:H39"/>
    <mergeCell ref="G25:H25"/>
    <mergeCell ref="G26:H26"/>
    <mergeCell ref="G27:H27"/>
    <mergeCell ref="G28:H28"/>
    <mergeCell ref="G29:H29"/>
    <mergeCell ref="G30:H30"/>
    <mergeCell ref="G31:H31"/>
    <mergeCell ref="G32:H32"/>
    <mergeCell ref="A7:M7"/>
    <mergeCell ref="A19:F19"/>
    <mergeCell ref="A18:F18"/>
    <mergeCell ref="A20:F20"/>
    <mergeCell ref="A21:F21"/>
    <mergeCell ref="K9:L10"/>
    <mergeCell ref="K11:L11"/>
    <mergeCell ref="A9:F10"/>
    <mergeCell ref="A11:F11"/>
    <mergeCell ref="I9:J10"/>
    <mergeCell ref="I11:J11"/>
    <mergeCell ref="I18:J18"/>
    <mergeCell ref="I19:J19"/>
    <mergeCell ref="I20:J21"/>
    <mergeCell ref="G9:H10"/>
    <mergeCell ref="G11:H11"/>
    <mergeCell ref="G18:H18"/>
    <mergeCell ref="G19:H19"/>
    <mergeCell ref="G20:H21"/>
    <mergeCell ref="G13:H13"/>
    <mergeCell ref="I13:J13"/>
    <mergeCell ref="K13:L13"/>
    <mergeCell ref="G14:H14"/>
    <mergeCell ref="I14:J14"/>
    <mergeCell ref="A123:F123"/>
    <mergeCell ref="I102:J102"/>
    <mergeCell ref="I83:J83"/>
    <mergeCell ref="I85:J85"/>
    <mergeCell ref="A95:F95"/>
    <mergeCell ref="G48:H48"/>
    <mergeCell ref="I48:J48"/>
    <mergeCell ref="K48:L48"/>
    <mergeCell ref="G52:H52"/>
    <mergeCell ref="I52:J52"/>
    <mergeCell ref="I110:J110"/>
    <mergeCell ref="G120:H120"/>
    <mergeCell ref="G121:H124"/>
    <mergeCell ref="A120:F120"/>
    <mergeCell ref="A121:F121"/>
    <mergeCell ref="A96:F96"/>
    <mergeCell ref="A111:F111"/>
    <mergeCell ref="A112:F112"/>
    <mergeCell ref="I89:J89"/>
    <mergeCell ref="I86:J86"/>
    <mergeCell ref="I112:J113"/>
    <mergeCell ref="I115:J115"/>
    <mergeCell ref="I63:J63"/>
    <mergeCell ref="G66:H66"/>
    <mergeCell ref="A138:F138"/>
    <mergeCell ref="A122:F122"/>
    <mergeCell ref="G46:H47"/>
    <mergeCell ref="A113:F113"/>
    <mergeCell ref="K140:L140"/>
    <mergeCell ref="K120:L120"/>
    <mergeCell ref="K126:L126"/>
    <mergeCell ref="I134:J134"/>
    <mergeCell ref="K134:L134"/>
    <mergeCell ref="K127:L127"/>
    <mergeCell ref="I121:J124"/>
    <mergeCell ref="I129:J129"/>
    <mergeCell ref="K129:L129"/>
    <mergeCell ref="K136:L136"/>
    <mergeCell ref="I136:J136"/>
    <mergeCell ref="K131:L131"/>
    <mergeCell ref="I131:J131"/>
    <mergeCell ref="I120:J120"/>
    <mergeCell ref="I126:J126"/>
    <mergeCell ref="A137:F137"/>
    <mergeCell ref="A83:F83"/>
    <mergeCell ref="A107:F107"/>
    <mergeCell ref="A108:F108"/>
    <mergeCell ref="A63:F63"/>
    <mergeCell ref="A46:F46"/>
    <mergeCell ref="A47:F47"/>
    <mergeCell ref="A71:F71"/>
    <mergeCell ref="A54:F54"/>
    <mergeCell ref="A55:F55"/>
    <mergeCell ref="A76:F76"/>
    <mergeCell ref="A61:F62"/>
    <mergeCell ref="A56:F56"/>
    <mergeCell ref="A86:F86"/>
    <mergeCell ref="I22:J22"/>
    <mergeCell ref="I23:J23"/>
    <mergeCell ref="I24:J24"/>
    <mergeCell ref="I25:J25"/>
    <mergeCell ref="I26:J26"/>
    <mergeCell ref="I38:J38"/>
    <mergeCell ref="I33:J33"/>
    <mergeCell ref="I34:J34"/>
    <mergeCell ref="I35:J35"/>
    <mergeCell ref="I27:J27"/>
    <mergeCell ref="I28:J28"/>
    <mergeCell ref="I36:J36"/>
    <mergeCell ref="I37:J37"/>
    <mergeCell ref="I29:J29"/>
    <mergeCell ref="I30:J30"/>
    <mergeCell ref="I31:J31"/>
    <mergeCell ref="I32:J32"/>
    <mergeCell ref="I39:J39"/>
    <mergeCell ref="I40:J40"/>
    <mergeCell ref="I41:J41"/>
    <mergeCell ref="I60:J60"/>
    <mergeCell ref="I50:J50"/>
    <mergeCell ref="I51:J51"/>
    <mergeCell ref="I53:J53"/>
    <mergeCell ref="I54:J54"/>
    <mergeCell ref="I55:J56"/>
    <mergeCell ref="I57:J57"/>
    <mergeCell ref="I59:J59"/>
    <mergeCell ref="I46:J47"/>
    <mergeCell ref="I49:J49"/>
    <mergeCell ref="K18:L18"/>
    <mergeCell ref="K19:L19"/>
    <mergeCell ref="K20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57:L57"/>
    <mergeCell ref="K51:L51"/>
    <mergeCell ref="K53:L53"/>
    <mergeCell ref="K54:L54"/>
    <mergeCell ref="K55:L56"/>
    <mergeCell ref="K46:L47"/>
    <mergeCell ref="K49:L49"/>
    <mergeCell ref="K50:L50"/>
    <mergeCell ref="K52:L52"/>
    <mergeCell ref="K42:L42"/>
    <mergeCell ref="K43:L43"/>
    <mergeCell ref="K44:L44"/>
    <mergeCell ref="K45:L45"/>
    <mergeCell ref="K36:L36"/>
    <mergeCell ref="K37:L37"/>
    <mergeCell ref="K38:L38"/>
    <mergeCell ref="K40:L40"/>
    <mergeCell ref="K41:L41"/>
    <mergeCell ref="K77:L77"/>
    <mergeCell ref="K78:L78"/>
    <mergeCell ref="K79:L79"/>
    <mergeCell ref="K107:L108"/>
    <mergeCell ref="K97:L97"/>
    <mergeCell ref="K66:L66"/>
    <mergeCell ref="K64:L64"/>
    <mergeCell ref="K81:L81"/>
    <mergeCell ref="K85:L85"/>
    <mergeCell ref="K86:L86"/>
    <mergeCell ref="K90:L90"/>
    <mergeCell ref="K102:L102"/>
    <mergeCell ref="K70:L70"/>
    <mergeCell ref="K84:L84"/>
    <mergeCell ref="K83:L83"/>
    <mergeCell ref="K137:L138"/>
    <mergeCell ref="M137:M138"/>
    <mergeCell ref="M20:M21"/>
    <mergeCell ref="M46:M47"/>
    <mergeCell ref="M55:M56"/>
    <mergeCell ref="M112:M113"/>
    <mergeCell ref="M95:M96"/>
    <mergeCell ref="M61:M62"/>
    <mergeCell ref="M99:M100"/>
    <mergeCell ref="K65:L65"/>
    <mergeCell ref="K72:L72"/>
    <mergeCell ref="K60:L60"/>
    <mergeCell ref="K89:L89"/>
    <mergeCell ref="K71:L71"/>
    <mergeCell ref="K73:L73"/>
    <mergeCell ref="K76:L76"/>
    <mergeCell ref="K130:L130"/>
    <mergeCell ref="K58:L58"/>
    <mergeCell ref="K59:L59"/>
    <mergeCell ref="K61:L62"/>
    <mergeCell ref="K95:L96"/>
    <mergeCell ref="K69:L69"/>
    <mergeCell ref="K99:L100"/>
    <mergeCell ref="K39:L39"/>
    <mergeCell ref="I132:J132"/>
    <mergeCell ref="K132:L132"/>
    <mergeCell ref="M107:M108"/>
    <mergeCell ref="K119:L119"/>
    <mergeCell ref="K111:L111"/>
    <mergeCell ref="K112:L113"/>
    <mergeCell ref="K115:L115"/>
    <mergeCell ref="K116:L116"/>
    <mergeCell ref="K117:L117"/>
    <mergeCell ref="I116:J116"/>
    <mergeCell ref="I117:J117"/>
    <mergeCell ref="M121:M124"/>
    <mergeCell ref="I109:J109"/>
    <mergeCell ref="K109:L109"/>
    <mergeCell ref="K110:L110"/>
    <mergeCell ref="I119:J119"/>
    <mergeCell ref="K114:L114"/>
    <mergeCell ref="I111:J111"/>
    <mergeCell ref="I130:J130"/>
    <mergeCell ref="I128:J128"/>
    <mergeCell ref="K128:L128"/>
    <mergeCell ref="G55:H56"/>
    <mergeCell ref="G57:H57"/>
    <mergeCell ref="I61:J62"/>
    <mergeCell ref="I65:J65"/>
    <mergeCell ref="I42:J42"/>
    <mergeCell ref="I43:J43"/>
    <mergeCell ref="I44:J44"/>
    <mergeCell ref="G58:H58"/>
    <mergeCell ref="I58:J58"/>
    <mergeCell ref="G59:H59"/>
    <mergeCell ref="G60:H60"/>
    <mergeCell ref="G61:H62"/>
    <mergeCell ref="G49:H49"/>
    <mergeCell ref="G42:H42"/>
    <mergeCell ref="G43:H43"/>
    <mergeCell ref="G44:H44"/>
    <mergeCell ref="G45:H45"/>
    <mergeCell ref="I45:J45"/>
    <mergeCell ref="G50:H50"/>
    <mergeCell ref="G51:H51"/>
    <mergeCell ref="G53:H53"/>
    <mergeCell ref="G54:H54"/>
    <mergeCell ref="G63:H63"/>
    <mergeCell ref="K63:L63"/>
    <mergeCell ref="G64:H64"/>
    <mergeCell ref="I64:J64"/>
    <mergeCell ref="G82:H82"/>
    <mergeCell ref="G74:H74"/>
    <mergeCell ref="I74:J74"/>
    <mergeCell ref="K74:L74"/>
    <mergeCell ref="G72:H72"/>
    <mergeCell ref="I72:J72"/>
    <mergeCell ref="G75:H75"/>
    <mergeCell ref="I75:J75"/>
    <mergeCell ref="K75:L75"/>
    <mergeCell ref="G69:H69"/>
    <mergeCell ref="I69:J69"/>
    <mergeCell ref="G77:H77"/>
    <mergeCell ref="I77:J77"/>
    <mergeCell ref="G81:H81"/>
    <mergeCell ref="K82:L82"/>
    <mergeCell ref="I90:J90"/>
    <mergeCell ref="G83:H83"/>
    <mergeCell ref="G85:H85"/>
    <mergeCell ref="G65:H65"/>
    <mergeCell ref="I81:J81"/>
    <mergeCell ref="G71:H71"/>
    <mergeCell ref="G73:H73"/>
    <mergeCell ref="G76:H76"/>
    <mergeCell ref="I78:J78"/>
    <mergeCell ref="I79:J79"/>
    <mergeCell ref="G79:H79"/>
    <mergeCell ref="I71:J71"/>
    <mergeCell ref="I73:J73"/>
    <mergeCell ref="I76:J76"/>
    <mergeCell ref="I66:J66"/>
    <mergeCell ref="G86:H86"/>
    <mergeCell ref="G84:H84"/>
    <mergeCell ref="I84:J84"/>
    <mergeCell ref="I82:J82"/>
    <mergeCell ref="G78:H78"/>
    <mergeCell ref="A5:M5"/>
    <mergeCell ref="G140:H140"/>
    <mergeCell ref="I140:J140"/>
    <mergeCell ref="G131:H131"/>
    <mergeCell ref="G111:H111"/>
    <mergeCell ref="G112:H113"/>
    <mergeCell ref="G115:H115"/>
    <mergeCell ref="G116:H116"/>
    <mergeCell ref="G127:H127"/>
    <mergeCell ref="G117:H117"/>
    <mergeCell ref="G119:H119"/>
    <mergeCell ref="I127:J127"/>
    <mergeCell ref="G130:H130"/>
    <mergeCell ref="I107:J108"/>
    <mergeCell ref="G90:H90"/>
    <mergeCell ref="G118:H118"/>
    <mergeCell ref="I118:J118"/>
    <mergeCell ref="K118:L118"/>
    <mergeCell ref="I114:J114"/>
    <mergeCell ref="G97:H97"/>
    <mergeCell ref="I97:J97"/>
    <mergeCell ref="G88:H88"/>
    <mergeCell ref="I88:J88"/>
    <mergeCell ref="K88:L88"/>
    <mergeCell ref="G109:H109"/>
    <mergeCell ref="G114:H114"/>
    <mergeCell ref="G106:H106"/>
    <mergeCell ref="I106:J106"/>
    <mergeCell ref="K106:L106"/>
    <mergeCell ref="G99:H100"/>
    <mergeCell ref="G91:H91"/>
    <mergeCell ref="G93:H93"/>
    <mergeCell ref="G95:H96"/>
    <mergeCell ref="I95:J96"/>
    <mergeCell ref="G92:H92"/>
    <mergeCell ref="I92:J92"/>
    <mergeCell ref="K91:L91"/>
    <mergeCell ref="K92:L92"/>
    <mergeCell ref="I91:J91"/>
    <mergeCell ref="K93:L93"/>
    <mergeCell ref="G137:H138"/>
    <mergeCell ref="I137:J138"/>
    <mergeCell ref="B13:F13"/>
    <mergeCell ref="K14:L14"/>
    <mergeCell ref="G15:H15"/>
    <mergeCell ref="I15:J15"/>
    <mergeCell ref="K15:L15"/>
    <mergeCell ref="G16:H16"/>
    <mergeCell ref="I16:J16"/>
    <mergeCell ref="K16:L16"/>
    <mergeCell ref="G17:H17"/>
    <mergeCell ref="I17:J17"/>
    <mergeCell ref="K17:L17"/>
    <mergeCell ref="G67:H67"/>
    <mergeCell ref="I67:J67"/>
    <mergeCell ref="K67:L67"/>
    <mergeCell ref="G68:H68"/>
    <mergeCell ref="I68:J68"/>
    <mergeCell ref="K68:L68"/>
    <mergeCell ref="G110:H110"/>
    <mergeCell ref="G102:H102"/>
    <mergeCell ref="G107:H108"/>
    <mergeCell ref="G70:H70"/>
    <mergeCell ref="I70:J70"/>
    <mergeCell ref="M103:M104"/>
    <mergeCell ref="A104:F104"/>
    <mergeCell ref="G105:H105"/>
    <mergeCell ref="I105:J105"/>
    <mergeCell ref="K105:L105"/>
    <mergeCell ref="G80:H80"/>
    <mergeCell ref="I80:J80"/>
    <mergeCell ref="K80:L80"/>
    <mergeCell ref="G94:H94"/>
    <mergeCell ref="I94:J94"/>
    <mergeCell ref="K94:L94"/>
    <mergeCell ref="G98:H98"/>
    <mergeCell ref="I98:J98"/>
    <mergeCell ref="K98:L98"/>
    <mergeCell ref="G101:H101"/>
    <mergeCell ref="I101:J101"/>
    <mergeCell ref="K101:L101"/>
    <mergeCell ref="G89:H89"/>
    <mergeCell ref="I93:J93"/>
    <mergeCell ref="A99:F99"/>
    <mergeCell ref="I99:J100"/>
    <mergeCell ref="G87:H87"/>
    <mergeCell ref="I87:J87"/>
    <mergeCell ref="K87:L87"/>
    <mergeCell ref="G139:H139"/>
    <mergeCell ref="I139:J139"/>
    <mergeCell ref="K139:L139"/>
    <mergeCell ref="G134:H134"/>
    <mergeCell ref="G136:H136"/>
    <mergeCell ref="G132:H132"/>
    <mergeCell ref="A100:F100"/>
    <mergeCell ref="G133:H133"/>
    <mergeCell ref="I133:J133"/>
    <mergeCell ref="K133:L133"/>
    <mergeCell ref="A103:F103"/>
    <mergeCell ref="G103:H104"/>
    <mergeCell ref="I103:J104"/>
    <mergeCell ref="K103:L104"/>
    <mergeCell ref="G135:H135"/>
    <mergeCell ref="I135:J135"/>
    <mergeCell ref="K135:L135"/>
    <mergeCell ref="G125:H125"/>
    <mergeCell ref="I125:J125"/>
    <mergeCell ref="K125:L125"/>
    <mergeCell ref="K121:L124"/>
    <mergeCell ref="G129:H129"/>
    <mergeCell ref="G126:H126"/>
    <mergeCell ref="G128:H128"/>
  </mergeCells>
  <pageMargins left="0.7" right="0.7" top="0.75" bottom="0.75" header="0.3" footer="0.3"/>
  <pageSetup paperSize="9" scale="49" orientation="portrait" r:id="rId2"/>
  <rowBreaks count="1" manualBreakCount="1">
    <brk id="60" max="16383" man="1"/>
  </rowBreaks>
  <ignoredErrors>
    <ignoredError sqref="M119 M53:M56 M102 M110 M136:M137 M140 M93 M95:M96 M46:M47 M49 M65 M71 M76 M82:M83 M88:M90 M99:M100 M107:M108 M111:M113 M115:M117 M134 M120:M124 M13 M15:M17 M73 M78 M85:M86 M126 M129:M130 M91 M127 M131:M132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zoomScaleNormal="100" workbookViewId="0"/>
  </sheetViews>
  <sheetFormatPr defaultRowHeight="15" x14ac:dyDescent="0.25"/>
  <cols>
    <col min="1" max="1" width="5.140625" customWidth="1"/>
    <col min="2" max="2" width="31.85546875" customWidth="1"/>
    <col min="3" max="13" width="11.7109375" customWidth="1"/>
  </cols>
  <sheetData>
    <row r="1" spans="1:14" x14ac:dyDescent="0.25">
      <c r="A1" s="88" t="s">
        <v>14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4" x14ac:dyDescent="0.25">
      <c r="A2" s="87" t="s">
        <v>12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4" x14ac:dyDescent="0.25">
      <c r="A3" s="87" t="s">
        <v>13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14" x14ac:dyDescent="0.2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</row>
    <row r="5" spans="1:14" x14ac:dyDescent="0.25">
      <c r="A5" s="196" t="s">
        <v>189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</row>
    <row r="6" spans="1:14" x14ac:dyDescent="0.25">
      <c r="A6" s="196" t="s">
        <v>190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</row>
    <row r="7" spans="1:14" ht="15.75" thickBot="1" x14ac:dyDescent="0.3"/>
    <row r="8" spans="1:14" x14ac:dyDescent="0.25">
      <c r="A8" s="383"/>
      <c r="B8" s="384"/>
      <c r="C8" s="384"/>
      <c r="D8" s="384"/>
      <c r="E8" s="384"/>
      <c r="F8" s="384"/>
      <c r="G8" s="385"/>
      <c r="H8" s="395" t="s">
        <v>198</v>
      </c>
      <c r="I8" s="395"/>
      <c r="J8" s="395" t="s">
        <v>226</v>
      </c>
      <c r="K8" s="395"/>
      <c r="L8" s="395" t="s">
        <v>225</v>
      </c>
      <c r="M8" s="395"/>
    </row>
    <row r="9" spans="1:14" ht="15.75" thickBot="1" x14ac:dyDescent="0.3">
      <c r="A9" s="386"/>
      <c r="B9" s="387"/>
      <c r="C9" s="387"/>
      <c r="D9" s="387"/>
      <c r="E9" s="387"/>
      <c r="F9" s="387"/>
      <c r="G9" s="388"/>
      <c r="H9" s="396"/>
      <c r="I9" s="396"/>
      <c r="J9" s="396"/>
      <c r="K9" s="396"/>
      <c r="L9" s="396"/>
      <c r="M9" s="396"/>
    </row>
    <row r="10" spans="1:14" ht="15" customHeight="1" x14ac:dyDescent="0.25">
      <c r="A10" s="393" t="s">
        <v>199</v>
      </c>
      <c r="B10" s="394" t="s">
        <v>200</v>
      </c>
      <c r="C10" s="393" t="s">
        <v>201</v>
      </c>
      <c r="D10" s="393" t="s">
        <v>202</v>
      </c>
      <c r="E10" s="393" t="s">
        <v>203</v>
      </c>
      <c r="F10" s="393" t="s">
        <v>204</v>
      </c>
      <c r="G10" s="393" t="s">
        <v>205</v>
      </c>
      <c r="H10" s="393" t="s">
        <v>206</v>
      </c>
      <c r="I10" s="393" t="s">
        <v>207</v>
      </c>
      <c r="J10" s="393" t="s">
        <v>227</v>
      </c>
      <c r="K10" s="393" t="s">
        <v>228</v>
      </c>
      <c r="L10" s="393" t="s">
        <v>208</v>
      </c>
      <c r="M10" s="393" t="s">
        <v>209</v>
      </c>
    </row>
    <row r="11" spans="1:14" s="87" customFormat="1" x14ac:dyDescent="0.25">
      <c r="A11" s="161"/>
      <c r="B11" s="394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</row>
    <row r="12" spans="1:14" s="87" customFormat="1" x14ac:dyDescent="0.25">
      <c r="A12" s="161"/>
      <c r="B12" s="394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</row>
    <row r="13" spans="1:14" s="87" customFormat="1" x14ac:dyDescent="0.25">
      <c r="A13" s="161"/>
      <c r="B13" s="393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</row>
    <row r="14" spans="1:14" ht="15.75" thickBot="1" x14ac:dyDescent="0.3">
      <c r="A14" s="81">
        <v>1</v>
      </c>
      <c r="B14" s="81">
        <v>2</v>
      </c>
      <c r="C14" s="81">
        <v>3</v>
      </c>
      <c r="D14" s="81">
        <v>4</v>
      </c>
      <c r="E14" s="81">
        <v>5</v>
      </c>
      <c r="F14" s="81">
        <v>6</v>
      </c>
      <c r="G14" s="81">
        <v>7</v>
      </c>
      <c r="H14" s="81">
        <v>8</v>
      </c>
      <c r="I14" s="81">
        <v>9</v>
      </c>
      <c r="J14" s="81">
        <v>10</v>
      </c>
      <c r="K14" s="81">
        <v>11</v>
      </c>
      <c r="L14" s="81">
        <v>12</v>
      </c>
      <c r="M14" s="81">
        <v>13</v>
      </c>
      <c r="N14" s="89"/>
    </row>
    <row r="15" spans="1:14" ht="15" customHeight="1" x14ac:dyDescent="0.25">
      <c r="A15" s="391" t="s">
        <v>195</v>
      </c>
      <c r="B15" s="90" t="s">
        <v>213</v>
      </c>
      <c r="C15" s="389" t="s">
        <v>191</v>
      </c>
      <c r="D15" s="391" t="s">
        <v>210</v>
      </c>
      <c r="E15" s="391" t="s">
        <v>211</v>
      </c>
      <c r="F15" s="391" t="s">
        <v>212</v>
      </c>
      <c r="G15" s="381">
        <v>27530</v>
      </c>
      <c r="H15" s="381">
        <v>27530</v>
      </c>
      <c r="I15" s="381">
        <v>27530</v>
      </c>
      <c r="J15" s="381">
        <v>5506</v>
      </c>
      <c r="K15" s="381">
        <v>0</v>
      </c>
      <c r="L15" s="381">
        <v>0</v>
      </c>
      <c r="M15" s="381">
        <v>0</v>
      </c>
    </row>
    <row r="16" spans="1:14" ht="15" customHeight="1" thickBot="1" x14ac:dyDescent="0.3">
      <c r="A16" s="392"/>
      <c r="B16" s="91" t="s">
        <v>214</v>
      </c>
      <c r="C16" s="390"/>
      <c r="D16" s="392"/>
      <c r="E16" s="392"/>
      <c r="F16" s="392"/>
      <c r="G16" s="382"/>
      <c r="H16" s="382"/>
      <c r="I16" s="382"/>
      <c r="J16" s="382"/>
      <c r="K16" s="382"/>
      <c r="L16" s="382"/>
      <c r="M16" s="382"/>
    </row>
  </sheetData>
  <mergeCells count="31">
    <mergeCell ref="A5:M5"/>
    <mergeCell ref="A10:A13"/>
    <mergeCell ref="H8:I9"/>
    <mergeCell ref="J8:K9"/>
    <mergeCell ref="L8:M9"/>
    <mergeCell ref="C10:C13"/>
    <mergeCell ref="E10:E13"/>
    <mergeCell ref="D10:D13"/>
    <mergeCell ref="F10:F13"/>
    <mergeCell ref="G10:G13"/>
    <mergeCell ref="H10:H13"/>
    <mergeCell ref="I10:I13"/>
    <mergeCell ref="J10:J13"/>
    <mergeCell ref="K10:K13"/>
    <mergeCell ref="L10:L13"/>
    <mergeCell ref="L15:L16"/>
    <mergeCell ref="M15:M16"/>
    <mergeCell ref="A6:M6"/>
    <mergeCell ref="A8:G9"/>
    <mergeCell ref="G15:G16"/>
    <mergeCell ref="H15:H16"/>
    <mergeCell ref="I15:I16"/>
    <mergeCell ref="J15:J16"/>
    <mergeCell ref="K15:K16"/>
    <mergeCell ref="C15:C16"/>
    <mergeCell ref="D15:D16"/>
    <mergeCell ref="A15:A16"/>
    <mergeCell ref="E15:E16"/>
    <mergeCell ref="F15:F16"/>
    <mergeCell ref="M10:M13"/>
    <mergeCell ref="B10:B13"/>
  </mergeCells>
  <pageMargins left="0.7" right="0.7" top="0.75" bottom="0.75" header="0.3" footer="0.3"/>
  <pageSetup paperSize="9" scale="54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Normal="100" workbookViewId="0"/>
  </sheetViews>
  <sheetFormatPr defaultRowHeight="15" x14ac:dyDescent="0.25"/>
  <cols>
    <col min="8" max="8" width="3.42578125" customWidth="1"/>
  </cols>
  <sheetData>
    <row r="1" spans="1:13" x14ac:dyDescent="0.25">
      <c r="A1" s="1" t="s">
        <v>14</v>
      </c>
    </row>
    <row r="2" spans="1:13" x14ac:dyDescent="0.25">
      <c r="A2" t="s">
        <v>12</v>
      </c>
    </row>
    <row r="3" spans="1:13" x14ac:dyDescent="0.25">
      <c r="A3" t="s">
        <v>13</v>
      </c>
    </row>
    <row r="5" spans="1:13" x14ac:dyDescent="0.25">
      <c r="A5" s="196" t="s">
        <v>189</v>
      </c>
      <c r="B5" s="196"/>
      <c r="C5" s="196"/>
      <c r="D5" s="196"/>
      <c r="E5" s="196"/>
      <c r="F5" s="196"/>
      <c r="G5" s="196"/>
      <c r="H5" s="196"/>
      <c r="I5" s="69"/>
      <c r="J5" s="69"/>
      <c r="K5" s="69"/>
      <c r="L5" s="69"/>
      <c r="M5" s="69"/>
    </row>
    <row r="6" spans="1:13" ht="15" customHeight="1" x14ac:dyDescent="0.25">
      <c r="A6" s="372" t="s">
        <v>192</v>
      </c>
      <c r="B6" s="372"/>
      <c r="C6" s="372"/>
      <c r="D6" s="372"/>
      <c r="E6" s="372"/>
      <c r="F6" s="372"/>
      <c r="G6" s="372"/>
      <c r="H6" s="372"/>
      <c r="I6" s="86"/>
      <c r="J6" s="86"/>
      <c r="K6" s="86"/>
      <c r="L6" s="86"/>
      <c r="M6" s="86"/>
    </row>
    <row r="7" spans="1:13" x14ac:dyDescent="0.25">
      <c r="A7" s="372"/>
      <c r="B7" s="372"/>
      <c r="C7" s="372"/>
      <c r="D7" s="372"/>
      <c r="E7" s="372"/>
      <c r="F7" s="372"/>
      <c r="G7" s="372"/>
      <c r="H7" s="372"/>
      <c r="I7" s="86"/>
      <c r="J7" s="86"/>
      <c r="K7" s="86"/>
      <c r="L7" s="86"/>
      <c r="M7" s="86"/>
    </row>
    <row r="8" spans="1:13" ht="15.75" thickBot="1" x14ac:dyDescent="0.3"/>
    <row r="9" spans="1:13" ht="15" customHeight="1" x14ac:dyDescent="0.25">
      <c r="A9" s="312" t="s">
        <v>193</v>
      </c>
      <c r="B9" s="313"/>
      <c r="C9" s="313"/>
      <c r="D9" s="313"/>
      <c r="E9" s="313"/>
      <c r="F9" s="314"/>
      <c r="G9" s="162" t="s">
        <v>224</v>
      </c>
      <c r="H9" s="163"/>
    </row>
    <row r="10" spans="1:13" x14ac:dyDescent="0.25">
      <c r="A10" s="315"/>
      <c r="B10" s="316"/>
      <c r="C10" s="316"/>
      <c r="D10" s="316"/>
      <c r="E10" s="316"/>
      <c r="F10" s="317"/>
      <c r="G10" s="397"/>
      <c r="H10" s="398"/>
    </row>
    <row r="11" spans="1:13" ht="15.75" thickBot="1" x14ac:dyDescent="0.3">
      <c r="A11" s="213" t="s">
        <v>194</v>
      </c>
      <c r="B11" s="214"/>
      <c r="C11" s="214"/>
      <c r="D11" s="214"/>
      <c r="E11" s="214"/>
      <c r="F11" s="215"/>
      <c r="G11" s="399"/>
      <c r="H11" s="400"/>
    </row>
    <row r="12" spans="1:13" ht="15" customHeight="1" x14ac:dyDescent="0.25">
      <c r="A12" s="92" t="s">
        <v>195</v>
      </c>
      <c r="B12" s="95" t="s">
        <v>215</v>
      </c>
      <c r="C12" s="95"/>
      <c r="D12" s="95"/>
      <c r="E12" s="95"/>
      <c r="F12" s="96"/>
      <c r="G12" s="405">
        <v>0</v>
      </c>
      <c r="H12" s="406"/>
    </row>
    <row r="13" spans="1:13" ht="15" customHeight="1" x14ac:dyDescent="0.25">
      <c r="A13" s="93" t="s">
        <v>196</v>
      </c>
      <c r="B13" s="97" t="s">
        <v>216</v>
      </c>
      <c r="C13" s="82"/>
      <c r="D13" s="82"/>
      <c r="E13" s="82"/>
      <c r="F13" s="83"/>
      <c r="G13" s="401">
        <v>0</v>
      </c>
      <c r="H13" s="402"/>
    </row>
    <row r="14" spans="1:13" ht="15.75" customHeight="1" thickBot="1" x14ac:dyDescent="0.3">
      <c r="A14" s="94" t="s">
        <v>197</v>
      </c>
      <c r="B14" s="98" t="s">
        <v>217</v>
      </c>
      <c r="C14" s="84"/>
      <c r="D14" s="84"/>
      <c r="E14" s="84"/>
      <c r="F14" s="85"/>
      <c r="G14" s="403">
        <v>0</v>
      </c>
      <c r="H14" s="404"/>
    </row>
  </sheetData>
  <mergeCells count="8">
    <mergeCell ref="A5:H5"/>
    <mergeCell ref="G9:H11"/>
    <mergeCell ref="G13:H13"/>
    <mergeCell ref="G14:H14"/>
    <mergeCell ref="A6:H7"/>
    <mergeCell ref="A11:F11"/>
    <mergeCell ref="G12:H12"/>
    <mergeCell ref="A9:F10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2</vt:i4>
      </vt:variant>
    </vt:vector>
  </HeadingPairs>
  <TitlesOfParts>
    <vt:vector size="9" baseType="lpstr">
      <vt:lpstr>SAŽETAK</vt:lpstr>
      <vt:lpstr>Račun prihoda i rashoda</vt:lpstr>
      <vt:lpstr>Rashodi i prihodi prema izvoru</vt:lpstr>
      <vt:lpstr>Rashodi prema funkcijskoj k </vt:lpstr>
      <vt:lpstr>Programska klasifikacija</vt:lpstr>
      <vt:lpstr>Posebni izvještaj-EU fondovi</vt:lpstr>
      <vt:lpstr>Stanje potraživanja, obveza</vt:lpstr>
      <vt:lpstr>'Programska klasifikacija'!Podrucje_ispisa</vt:lpstr>
      <vt:lpstr>'Račun prihoda i rashoda'!Podrucje_ispisa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Racunovodja</dc:creator>
  <cp:lastModifiedBy>Racunovodja</cp:lastModifiedBy>
  <cp:lastPrinted>2025-03-24T10:38:34Z</cp:lastPrinted>
  <dcterms:created xsi:type="dcterms:W3CDTF">2023-02-09T09:40:18Z</dcterms:created>
  <dcterms:modified xsi:type="dcterms:W3CDTF">2025-03-24T10:38:40Z</dcterms:modified>
</cp:coreProperties>
</file>