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ja\Desktop\"/>
    </mc:Choice>
  </mc:AlternateContent>
  <bookViews>
    <workbookView xWindow="0" yWindow="0" windowWidth="28800" windowHeight="12210" tabRatio="939" activeTab="4"/>
  </bookViews>
  <sheets>
    <sheet name="SAŽETAK" sheetId="1" r:id="rId1"/>
    <sheet name="Račun prihoda i rashoda" sheetId="3" r:id="rId2"/>
    <sheet name="Rashodi i prihodi prema izvoru" sheetId="4" r:id="rId3"/>
    <sheet name="Rashodi prema funkcijskoj k " sheetId="5" r:id="rId4"/>
    <sheet name="Programska klasifikacija" sheetId="2" r:id="rId5"/>
  </sheets>
  <definedNames>
    <definedName name="_xlnm.Print_Area" localSheetId="4">'Programska klasifikacija'!$A$1:$M$119</definedName>
    <definedName name="_xlnm.Print_Area" localSheetId="1">'Račun prihoda i rashoda'!$A$1:$S$97</definedName>
  </definedNames>
  <calcPr calcId="162913"/>
  <customWorkbookViews>
    <customWorkbookView name="Racunovodja - osobni prikaz" guid="{005C429F-8448-44DF-83AD-8A930973E873}" mergeInterval="0" personalView="1" maximized="1" xWindow="-8" yWindow="-8" windowWidth="1936" windowHeight="1048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4" l="1"/>
  <c r="K45" i="4"/>
  <c r="K44" i="4" s="1"/>
  <c r="K37" i="4"/>
  <c r="K36" i="4"/>
  <c r="K35" i="4"/>
  <c r="K28" i="4"/>
  <c r="K15" i="4"/>
  <c r="K14" i="4"/>
  <c r="K24" i="4"/>
  <c r="G44" i="4"/>
  <c r="I44" i="4"/>
  <c r="E44" i="4"/>
  <c r="K14" i="2"/>
  <c r="K17" i="2"/>
  <c r="K16" i="2"/>
  <c r="K78" i="2"/>
  <c r="K93" i="2"/>
  <c r="K35" i="2"/>
  <c r="O16" i="5" l="1"/>
  <c r="P16" i="5"/>
  <c r="M14" i="5"/>
  <c r="M15" i="5"/>
  <c r="E38" i="1"/>
  <c r="K38" i="1"/>
  <c r="I23" i="1"/>
  <c r="N72" i="3"/>
  <c r="N54" i="3"/>
  <c r="N50" i="3"/>
  <c r="N85" i="3"/>
  <c r="N70" i="3"/>
  <c r="R93" i="3"/>
  <c r="S93" i="3"/>
  <c r="N84" i="3"/>
  <c r="N77" i="3"/>
  <c r="N75" i="3"/>
  <c r="N73" i="3"/>
  <c r="R72" i="3"/>
  <c r="N69" i="3"/>
  <c r="N66" i="3"/>
  <c r="N65" i="3"/>
  <c r="N63" i="3"/>
  <c r="N62" i="3"/>
  <c r="N58" i="3"/>
  <c r="N57" i="3"/>
  <c r="N52" i="3"/>
  <c r="L13" i="3"/>
  <c r="N39" i="3"/>
  <c r="N37" i="3" s="1"/>
  <c r="N18" i="3"/>
  <c r="L14" i="3"/>
  <c r="P14" i="3"/>
  <c r="J14" i="3"/>
  <c r="L37" i="3"/>
  <c r="P37" i="3"/>
  <c r="J37" i="3"/>
  <c r="L18" i="3"/>
  <c r="G24" i="1"/>
  <c r="G23" i="1"/>
  <c r="N91" i="3"/>
  <c r="P91" i="3"/>
  <c r="J91" i="3"/>
  <c r="L91" i="3"/>
  <c r="L85" i="3"/>
  <c r="N78" i="3"/>
  <c r="P78" i="3"/>
  <c r="J78" i="3"/>
  <c r="L84" i="3"/>
  <c r="L77" i="3"/>
  <c r="L75" i="3"/>
  <c r="L72" i="3"/>
  <c r="L70" i="3"/>
  <c r="L69" i="3"/>
  <c r="L66" i="3"/>
  <c r="L65" i="3"/>
  <c r="L63" i="3"/>
  <c r="L62" i="3"/>
  <c r="L57" i="3"/>
  <c r="L53" i="3"/>
  <c r="N53" i="3"/>
  <c r="P53" i="3"/>
  <c r="J53" i="3"/>
  <c r="G45" i="4"/>
  <c r="G24" i="4"/>
  <c r="G23" i="4" s="1"/>
  <c r="G17" i="4"/>
  <c r="N47" i="4"/>
  <c r="M47" i="4"/>
  <c r="K46" i="4"/>
  <c r="N46" i="4" s="1"/>
  <c r="I46" i="4"/>
  <c r="G46" i="4"/>
  <c r="E46" i="4"/>
  <c r="M25" i="4"/>
  <c r="N25" i="4"/>
  <c r="I23" i="4"/>
  <c r="K23" i="4"/>
  <c r="E23" i="4"/>
  <c r="K14" i="5"/>
  <c r="I14" i="5"/>
  <c r="G17" i="2"/>
  <c r="G16" i="2"/>
  <c r="G13" i="2"/>
  <c r="K13" i="2"/>
  <c r="I13" i="2"/>
  <c r="M18" i="2"/>
  <c r="I16" i="2"/>
  <c r="I14" i="2"/>
  <c r="I49" i="2"/>
  <c r="I47" i="2" s="1"/>
  <c r="I20" i="2" s="1"/>
  <c r="K49" i="2"/>
  <c r="K47" i="2" s="1"/>
  <c r="G49" i="2"/>
  <c r="G47" i="2" s="1"/>
  <c r="G20" i="2" s="1"/>
  <c r="M50" i="2"/>
  <c r="M48" i="2"/>
  <c r="M87" i="2"/>
  <c r="K86" i="2"/>
  <c r="K85" i="2" s="1"/>
  <c r="I86" i="2"/>
  <c r="I85" i="2" s="1"/>
  <c r="G86" i="2"/>
  <c r="G85" i="2" s="1"/>
  <c r="G23" i="2"/>
  <c r="M45" i="2"/>
  <c r="L78" i="3" l="1"/>
  <c r="L68" i="3"/>
  <c r="M46" i="4"/>
  <c r="M85" i="2"/>
  <c r="M86" i="2"/>
  <c r="M47" i="2"/>
  <c r="M49" i="2"/>
  <c r="K22" i="1"/>
  <c r="G14" i="5"/>
  <c r="E45" i="4"/>
  <c r="E43" i="4"/>
  <c r="E42" i="4"/>
  <c r="E40" i="4" s="1"/>
  <c r="E36" i="4"/>
  <c r="E34" i="4" s="1"/>
  <c r="E38" i="4"/>
  <c r="E26" i="4"/>
  <c r="E19" i="4"/>
  <c r="E17" i="4"/>
  <c r="E15" i="4"/>
  <c r="E13" i="4" s="1"/>
  <c r="E48" i="4" l="1"/>
  <c r="N15" i="4"/>
  <c r="M15" i="4"/>
  <c r="M35" i="4"/>
  <c r="N20" i="1"/>
  <c r="M20" i="1"/>
  <c r="G34" i="1" l="1"/>
  <c r="I34" i="1"/>
  <c r="K34" i="1"/>
  <c r="E34" i="1"/>
  <c r="N39" i="4" l="1"/>
  <c r="I15" i="5" l="1"/>
  <c r="I13" i="5" s="1"/>
  <c r="I12" i="5" s="1"/>
  <c r="M13" i="5"/>
  <c r="M12" i="5" s="1"/>
  <c r="G15" i="5"/>
  <c r="G13" i="5" s="1"/>
  <c r="G12" i="5" s="1"/>
  <c r="O14" i="5" l="1"/>
  <c r="G40" i="4" l="1"/>
  <c r="G38" i="4"/>
  <c r="G34" i="4"/>
  <c r="N35" i="1"/>
  <c r="M35" i="1"/>
  <c r="N37" i="1"/>
  <c r="M37" i="1"/>
  <c r="G48" i="4" l="1"/>
  <c r="P56" i="3"/>
  <c r="I89" i="2" l="1"/>
  <c r="K89" i="2"/>
  <c r="G89" i="2"/>
  <c r="M115" i="2" l="1"/>
  <c r="M111" i="2"/>
  <c r="K94" i="2"/>
  <c r="G94" i="2"/>
  <c r="I94" i="2"/>
  <c r="M96" i="2"/>
  <c r="M78" i="2"/>
  <c r="M79" i="2"/>
  <c r="I76" i="2"/>
  <c r="K76" i="2"/>
  <c r="G76" i="2"/>
  <c r="I63" i="2"/>
  <c r="I62" i="2" s="1"/>
  <c r="K63" i="2"/>
  <c r="K62" i="2" s="1"/>
  <c r="G63" i="2"/>
  <c r="G62" i="2" s="1"/>
  <c r="M69" i="2"/>
  <c r="M68" i="2"/>
  <c r="G71" i="2"/>
  <c r="G70" i="2" s="1"/>
  <c r="K71" i="2"/>
  <c r="K70" i="2" s="1"/>
  <c r="I71" i="2"/>
  <c r="I70" i="2" s="1"/>
  <c r="M73" i="2"/>
  <c r="M74" i="2"/>
  <c r="M67" i="2"/>
  <c r="M66" i="2"/>
  <c r="M65" i="2"/>
  <c r="I40" i="4"/>
  <c r="I38" i="4"/>
  <c r="I34" i="4"/>
  <c r="L87" i="3"/>
  <c r="N87" i="3"/>
  <c r="P87" i="3"/>
  <c r="J87" i="3"/>
  <c r="J86" i="3" s="1"/>
  <c r="J95" i="3"/>
  <c r="J68" i="3"/>
  <c r="J61" i="3"/>
  <c r="J56" i="3"/>
  <c r="J51" i="3"/>
  <c r="J49" i="3"/>
  <c r="L26" i="3"/>
  <c r="L24" i="3" s="1"/>
  <c r="N26" i="3"/>
  <c r="N24" i="3" s="1"/>
  <c r="P26" i="3"/>
  <c r="P24" i="3" s="1"/>
  <c r="J26" i="3"/>
  <c r="G25" i="1"/>
  <c r="I22" i="1"/>
  <c r="I48" i="4" l="1"/>
  <c r="J48" i="3"/>
  <c r="J90" i="3"/>
  <c r="J89" i="3" s="1"/>
  <c r="J55" i="3"/>
  <c r="G117" i="2"/>
  <c r="G103" i="2"/>
  <c r="G101" i="2" s="1"/>
  <c r="G99" i="2"/>
  <c r="G97" i="2" s="1"/>
  <c r="G88" i="2"/>
  <c r="G83" i="2"/>
  <c r="G82" i="2" s="1"/>
  <c r="G80" i="2"/>
  <c r="G75" i="2" s="1"/>
  <c r="G60" i="2" s="1"/>
  <c r="G59" i="2" s="1"/>
  <c r="G57" i="2"/>
  <c r="G53" i="2"/>
  <c r="G21" i="2"/>
  <c r="J43" i="3"/>
  <c r="J42" i="3" s="1"/>
  <c r="J41" i="3" s="1"/>
  <c r="J35" i="3"/>
  <c r="J32" i="3"/>
  <c r="J30" i="3"/>
  <c r="J24" i="3"/>
  <c r="J22" i="3"/>
  <c r="J16" i="3"/>
  <c r="E25" i="1"/>
  <c r="E22" i="1"/>
  <c r="M14" i="2"/>
  <c r="J47" i="3" l="1"/>
  <c r="G109" i="2"/>
  <c r="G106" i="2" s="1"/>
  <c r="G105" i="2" s="1"/>
  <c r="G51" i="2"/>
  <c r="E28" i="4"/>
  <c r="J97" i="3"/>
  <c r="J28" i="3"/>
  <c r="E26" i="1"/>
  <c r="G19" i="2" l="1"/>
  <c r="J13" i="3"/>
  <c r="J45" i="3" s="1"/>
  <c r="N19" i="1"/>
  <c r="M15" i="2" l="1"/>
  <c r="M16" i="2"/>
  <c r="M17" i="2"/>
  <c r="I57" i="2"/>
  <c r="K57" i="2"/>
  <c r="I53" i="2"/>
  <c r="K53" i="2"/>
  <c r="I117" i="2"/>
  <c r="K117" i="2"/>
  <c r="I103" i="2"/>
  <c r="I101" i="2" s="1"/>
  <c r="K103" i="2"/>
  <c r="I99" i="2"/>
  <c r="I97" i="2" s="1"/>
  <c r="K99" i="2"/>
  <c r="K97" i="2" s="1"/>
  <c r="I88" i="2"/>
  <c r="K88" i="2"/>
  <c r="I83" i="2"/>
  <c r="I82" i="2" s="1"/>
  <c r="K83" i="2"/>
  <c r="K80" i="2"/>
  <c r="K75" i="2" s="1"/>
  <c r="I80" i="2"/>
  <c r="I75" i="2" s="1"/>
  <c r="I60" i="2" s="1"/>
  <c r="M13" i="2" l="1"/>
  <c r="M117" i="2"/>
  <c r="M76" i="2"/>
  <c r="M103" i="2"/>
  <c r="K101" i="2"/>
  <c r="M89" i="2"/>
  <c r="M94" i="2"/>
  <c r="M83" i="2"/>
  <c r="K82" i="2"/>
  <c r="K60" i="2" s="1"/>
  <c r="K59" i="2" s="1"/>
  <c r="M80" i="2"/>
  <c r="M71" i="2"/>
  <c r="M63" i="2"/>
  <c r="I23" i="2"/>
  <c r="I21" i="2" s="1"/>
  <c r="K23" i="2"/>
  <c r="K40" i="4"/>
  <c r="K38" i="4"/>
  <c r="M38" i="4" s="1"/>
  <c r="K34" i="4"/>
  <c r="G26" i="4"/>
  <c r="I26" i="4"/>
  <c r="K26" i="4"/>
  <c r="G19" i="4"/>
  <c r="I19" i="4"/>
  <c r="K19" i="4"/>
  <c r="I17" i="4"/>
  <c r="K17" i="4"/>
  <c r="M17" i="4" s="1"/>
  <c r="N14" i="4"/>
  <c r="G13" i="4"/>
  <c r="I13" i="4"/>
  <c r="K13" i="4"/>
  <c r="M13" i="4" s="1"/>
  <c r="K48" i="4" l="1"/>
  <c r="N34" i="4"/>
  <c r="I59" i="2"/>
  <c r="N44" i="4"/>
  <c r="N23" i="4"/>
  <c r="N19" i="4"/>
  <c r="N17" i="4"/>
  <c r="M44" i="4"/>
  <c r="N40" i="4"/>
  <c r="M23" i="4"/>
  <c r="N26" i="4"/>
  <c r="M19" i="4"/>
  <c r="G28" i="4"/>
  <c r="I28" i="4"/>
  <c r="N13" i="4"/>
  <c r="K51" i="2"/>
  <c r="M53" i="2"/>
  <c r="I51" i="2"/>
  <c r="M57" i="2"/>
  <c r="M40" i="4"/>
  <c r="N38" i="4"/>
  <c r="M34" i="4"/>
  <c r="M26" i="4"/>
  <c r="R88" i="3"/>
  <c r="S88" i="3"/>
  <c r="S54" i="3"/>
  <c r="S52" i="3"/>
  <c r="S50" i="3"/>
  <c r="O15" i="5" l="1"/>
  <c r="S53" i="3" l="1"/>
  <c r="O12" i="5"/>
  <c r="O13" i="5"/>
  <c r="G22" i="1"/>
  <c r="G26" i="1" l="1"/>
  <c r="N21" i="1"/>
  <c r="N32" i="1"/>
  <c r="N33" i="1"/>
  <c r="N34" i="1"/>
  <c r="M32" i="1"/>
  <c r="M33" i="1"/>
  <c r="M34" i="1"/>
  <c r="I25" i="1" l="1"/>
  <c r="N24" i="1" l="1"/>
  <c r="K25" i="1"/>
  <c r="M113" i="2"/>
  <c r="M110" i="2"/>
  <c r="M104" i="2"/>
  <c r="M102" i="2"/>
  <c r="M99" i="2"/>
  <c r="M91" i="2"/>
  <c r="M90" i="2"/>
  <c r="K26" i="1" l="1"/>
  <c r="K36" i="1"/>
  <c r="I26" i="1"/>
  <c r="N22" i="1"/>
  <c r="I109" i="2"/>
  <c r="I106" i="2" s="1"/>
  <c r="I105" i="2" s="1"/>
  <c r="I19" i="2" s="1"/>
  <c r="K109" i="2"/>
  <c r="M114" i="2"/>
  <c r="N25" i="1"/>
  <c r="N23" i="1"/>
  <c r="M23" i="1"/>
  <c r="M101" i="2"/>
  <c r="R57" i="3"/>
  <c r="M24" i="1"/>
  <c r="M21" i="1"/>
  <c r="M36" i="1" l="1"/>
  <c r="N36" i="1"/>
  <c r="N38" i="1"/>
  <c r="M38" i="1"/>
  <c r="M109" i="2"/>
  <c r="K106" i="2"/>
  <c r="K105" i="2" s="1"/>
  <c r="M22" i="1"/>
  <c r="M25" i="1"/>
  <c r="M19" i="1"/>
  <c r="N16" i="4" l="1"/>
  <c r="M26" i="2"/>
  <c r="M62" i="2" l="1"/>
  <c r="M26" i="1" l="1"/>
  <c r="N16" i="3" l="1"/>
  <c r="N14" i="3" s="1"/>
  <c r="P16" i="3"/>
  <c r="S16" i="3" l="1"/>
  <c r="M14" i="4" l="1"/>
  <c r="L95" i="3" l="1"/>
  <c r="L90" i="3" s="1"/>
  <c r="L89" i="3" s="1"/>
  <c r="L86" i="3"/>
  <c r="L61" i="3"/>
  <c r="L56" i="3"/>
  <c r="L51" i="3"/>
  <c r="L49" i="3"/>
  <c r="L43" i="3"/>
  <c r="L42" i="3" s="1"/>
  <c r="L41" i="3" s="1"/>
  <c r="L35" i="3"/>
  <c r="L32" i="3"/>
  <c r="L30" i="3"/>
  <c r="L22" i="3"/>
  <c r="L16" i="3"/>
  <c r="L28" i="3" l="1"/>
  <c r="L48" i="3"/>
  <c r="L55" i="3"/>
  <c r="L47" i="3" l="1"/>
  <c r="L97" i="3"/>
  <c r="L45" i="3"/>
  <c r="R44" i="3" l="1"/>
  <c r="S44" i="3"/>
  <c r="M116" i="2"/>
  <c r="M112" i="2"/>
  <c r="M98" i="2"/>
  <c r="M52" i="2"/>
  <c r="N86" i="3"/>
  <c r="R56" i="3"/>
  <c r="S87" i="3" l="1"/>
  <c r="P86" i="3"/>
  <c r="R87" i="3"/>
  <c r="S86" i="3" l="1"/>
  <c r="R86" i="3"/>
  <c r="R16" i="3"/>
  <c r="M100" i="2" l="1"/>
  <c r="M97" i="2" l="1"/>
  <c r="S34" i="3" l="1"/>
  <c r="R34" i="3"/>
  <c r="S31" i="3"/>
  <c r="R31" i="3"/>
  <c r="R39" i="3"/>
  <c r="S39" i="3"/>
  <c r="S27" i="3"/>
  <c r="R27" i="3"/>
  <c r="S23" i="3"/>
  <c r="R23" i="3"/>
  <c r="R92" i="3"/>
  <c r="S92" i="3"/>
  <c r="R94" i="3"/>
  <c r="S94" i="3"/>
  <c r="R96" i="3"/>
  <c r="S96" i="3"/>
  <c r="S79" i="3"/>
  <c r="R79" i="3"/>
  <c r="R82" i="3"/>
  <c r="S82" i="3"/>
  <c r="R83" i="3"/>
  <c r="S83" i="3"/>
  <c r="R84" i="3"/>
  <c r="S84" i="3"/>
  <c r="R85" i="3"/>
  <c r="S85" i="3"/>
  <c r="S81" i="3"/>
  <c r="R81" i="3"/>
  <c r="R50" i="3"/>
  <c r="R52" i="3"/>
  <c r="R54" i="3"/>
  <c r="S57" i="3"/>
  <c r="R58" i="3"/>
  <c r="S58" i="3"/>
  <c r="R59" i="3"/>
  <c r="S59" i="3"/>
  <c r="R60" i="3"/>
  <c r="S60" i="3"/>
  <c r="R62" i="3"/>
  <c r="S62" i="3"/>
  <c r="R63" i="3"/>
  <c r="S63" i="3"/>
  <c r="R64" i="3"/>
  <c r="S64" i="3"/>
  <c r="R65" i="3"/>
  <c r="S65" i="3"/>
  <c r="R66" i="3"/>
  <c r="S66" i="3"/>
  <c r="R67" i="3"/>
  <c r="S67" i="3"/>
  <c r="R69" i="3"/>
  <c r="S69" i="3"/>
  <c r="R70" i="3"/>
  <c r="S70" i="3"/>
  <c r="R71" i="3"/>
  <c r="S71" i="3"/>
  <c r="S72" i="3"/>
  <c r="R73" i="3"/>
  <c r="S73" i="3"/>
  <c r="R74" i="3"/>
  <c r="S74" i="3"/>
  <c r="R75" i="3"/>
  <c r="S75" i="3"/>
  <c r="R76" i="3"/>
  <c r="S76" i="3"/>
  <c r="R77" i="3"/>
  <c r="S77" i="3"/>
  <c r="M72" i="2"/>
  <c r="M77" i="2"/>
  <c r="M81" i="2"/>
  <c r="M84" i="2"/>
  <c r="M92" i="2"/>
  <c r="M93" i="2"/>
  <c r="M95" i="2"/>
  <c r="M64" i="2"/>
  <c r="M118" i="2"/>
  <c r="M55" i="2"/>
  <c r="M56" i="2"/>
  <c r="M58" i="2"/>
  <c r="M54" i="2"/>
  <c r="S18" i="3"/>
  <c r="S20" i="3"/>
  <c r="R18" i="3"/>
  <c r="N26" i="1" l="1"/>
  <c r="M106" i="2"/>
  <c r="M88" i="2"/>
  <c r="M82" i="2"/>
  <c r="M75" i="2"/>
  <c r="M70" i="2"/>
  <c r="M51" i="2"/>
  <c r="M24" i="2"/>
  <c r="M25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6" i="2"/>
  <c r="M60" i="2" l="1"/>
  <c r="M105" i="2"/>
  <c r="M59" i="2"/>
  <c r="M27" i="4"/>
  <c r="K21" i="2" l="1"/>
  <c r="K20" i="2" s="1"/>
  <c r="M23" i="2"/>
  <c r="M48" i="4"/>
  <c r="M37" i="4"/>
  <c r="N37" i="4"/>
  <c r="M39" i="4"/>
  <c r="M41" i="4"/>
  <c r="N41" i="4"/>
  <c r="M42" i="4"/>
  <c r="N42" i="4"/>
  <c r="M43" i="4"/>
  <c r="N43" i="4"/>
  <c r="M45" i="4"/>
  <c r="N45" i="4"/>
  <c r="N36" i="4"/>
  <c r="M36" i="4"/>
  <c r="N35" i="4"/>
  <c r="M16" i="4"/>
  <c r="M18" i="4"/>
  <c r="N18" i="4"/>
  <c r="M20" i="4"/>
  <c r="N20" i="4"/>
  <c r="M21" i="4"/>
  <c r="N21" i="4"/>
  <c r="M22" i="4"/>
  <c r="N22" i="4"/>
  <c r="M24" i="4"/>
  <c r="N24" i="4"/>
  <c r="N27" i="4"/>
  <c r="M21" i="2" l="1"/>
  <c r="K19" i="2"/>
  <c r="M28" i="4"/>
  <c r="N28" i="4"/>
  <c r="N48" i="4"/>
  <c r="M19" i="2" l="1"/>
  <c r="M20" i="2"/>
  <c r="N95" i="3"/>
  <c r="P95" i="3"/>
  <c r="N49" i="3"/>
  <c r="N48" i="3" s="1"/>
  <c r="P49" i="3"/>
  <c r="N51" i="3"/>
  <c r="P51" i="3"/>
  <c r="R53" i="3"/>
  <c r="N56" i="3"/>
  <c r="N61" i="3"/>
  <c r="P61" i="3"/>
  <c r="N68" i="3"/>
  <c r="P68" i="3"/>
  <c r="S49" i="3" l="1"/>
  <c r="S51" i="3"/>
  <c r="P48" i="3"/>
  <c r="N90" i="3"/>
  <c r="N89" i="3" s="1"/>
  <c r="P90" i="3"/>
  <c r="P89" i="3" s="1"/>
  <c r="R91" i="3"/>
  <c r="S91" i="3"/>
  <c r="N55" i="3"/>
  <c r="N47" i="3" s="1"/>
  <c r="R78" i="3"/>
  <c r="S78" i="3"/>
  <c r="R61" i="3"/>
  <c r="S61" i="3"/>
  <c r="S68" i="3"/>
  <c r="R68" i="3"/>
  <c r="R95" i="3"/>
  <c r="S95" i="3"/>
  <c r="R51" i="3"/>
  <c r="R49" i="3"/>
  <c r="P55" i="3"/>
  <c r="S56" i="3"/>
  <c r="N43" i="3"/>
  <c r="N42" i="3" s="1"/>
  <c r="N41" i="3" s="1"/>
  <c r="P43" i="3"/>
  <c r="N35" i="3"/>
  <c r="N32" i="3"/>
  <c r="P32" i="3"/>
  <c r="N30" i="3"/>
  <c r="P30" i="3"/>
  <c r="N22" i="3"/>
  <c r="P22" i="3"/>
  <c r="P47" i="3" l="1"/>
  <c r="N97" i="3"/>
  <c r="R48" i="3"/>
  <c r="S48" i="3"/>
  <c r="S55" i="3"/>
  <c r="R55" i="3"/>
  <c r="S89" i="3"/>
  <c r="S22" i="3"/>
  <c r="R22" i="3"/>
  <c r="S26" i="3"/>
  <c r="R26" i="3"/>
  <c r="S43" i="3"/>
  <c r="R43" i="3"/>
  <c r="P28" i="3"/>
  <c r="S30" i="3"/>
  <c r="R30" i="3"/>
  <c r="S32" i="3"/>
  <c r="R32" i="3"/>
  <c r="P35" i="3"/>
  <c r="R37" i="3"/>
  <c r="S37" i="3"/>
  <c r="R90" i="3"/>
  <c r="S90" i="3"/>
  <c r="P42" i="3"/>
  <c r="P41" i="3" s="1"/>
  <c r="N28" i="3"/>
  <c r="N13" i="3" l="1"/>
  <c r="N45" i="3" s="1"/>
  <c r="P97" i="3"/>
  <c r="P13" i="3"/>
  <c r="P45" i="3" s="1"/>
  <c r="S14" i="3"/>
  <c r="R14" i="3"/>
  <c r="R89" i="3"/>
  <c r="S28" i="3"/>
  <c r="R28" i="3"/>
  <c r="S35" i="3"/>
  <c r="R35" i="3"/>
  <c r="S24" i="3"/>
  <c r="R24" i="3"/>
  <c r="S47" i="3"/>
  <c r="S42" i="3"/>
  <c r="R42" i="3"/>
  <c r="R47" i="3"/>
  <c r="S97" i="3" l="1"/>
  <c r="R97" i="3"/>
  <c r="S13" i="3"/>
  <c r="R13" i="3"/>
  <c r="S41" i="3"/>
  <c r="R41" i="3"/>
  <c r="R45" i="3" l="1"/>
  <c r="S45" i="3"/>
  <c r="P14" i="5"/>
  <c r="K15" i="5"/>
  <c r="P15" i="5" s="1"/>
  <c r="K13" i="5" l="1"/>
  <c r="K12" i="5" l="1"/>
  <c r="P12" i="5" s="1"/>
  <c r="P13" i="5"/>
</calcChain>
</file>

<file path=xl/sharedStrings.xml><?xml version="1.0" encoding="utf-8"?>
<sst xmlns="http://schemas.openxmlformats.org/spreadsheetml/2006/main" count="342" uniqueCount="185">
  <si>
    <t>I. OPĆI DIO</t>
  </si>
  <si>
    <t>PRIHODI I RASHODI</t>
  </si>
  <si>
    <t>6 Prihodi poslovanja</t>
  </si>
  <si>
    <t>7 Prihodi od prodaje nefinancijske imovine</t>
  </si>
  <si>
    <t>PRIHODI UKUPNO</t>
  </si>
  <si>
    <t>3 Rashodi poslovanja</t>
  </si>
  <si>
    <t>4 Rashodi za nabavu nefinancijske imovine</t>
  </si>
  <si>
    <t>RASHODI UKUPNO</t>
  </si>
  <si>
    <t>Razlika – višak/ manjak</t>
  </si>
  <si>
    <t>5 Izdaci za financijsku imovinu i otplate zajmova</t>
  </si>
  <si>
    <t>8 Primici od financijske imovine i zaduživanja</t>
  </si>
  <si>
    <t>9 Preneseni višak prethodnih godina</t>
  </si>
  <si>
    <t>Antuna Gustava Matoša 40, 23000 Zadar</t>
  </si>
  <si>
    <t>OIB: 91757782000 // RKP: 19773</t>
  </si>
  <si>
    <t>Hotelijersko – turistička i ugostiteljska škola Zadar</t>
  </si>
  <si>
    <t>Glava: 030-05 SREDNJOŠKOLSKO OBRAZOVANJE</t>
  </si>
  <si>
    <t>Aktivnost: A2204-01 Djelatnost srednjih škola</t>
  </si>
  <si>
    <t>Izvor financiranje: 451 F.P. i dodatni udio u porezu na dohodak</t>
  </si>
  <si>
    <t>Brojčana oznaka i naziv računa prihoda i rashoda</t>
  </si>
  <si>
    <t>Pomoći iz inozemstva i od subjekata unutar općeg proračuna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</si>
  <si>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</si>
  <si>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</si>
  <si>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</si>
  <si>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</si>
  <si>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</si>
  <si>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</si>
  <si>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</t>
  </si>
  <si>
    <t>Prihodi od pruženih usluga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</si>
  <si>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</si>
  <si>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</si>
  <si>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</si>
  <si>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</si>
  <si>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VLASTITI IZVORI</t>
  </si>
  <si>
    <t>Pomoći temeljem prijenosa EU sredstava</t>
  </si>
  <si>
    <t>Prihodi od prodaje proizvoda i robe te pruženih usluga i prihodi od donacija</t>
  </si>
  <si>
    <t>Donacije od pravnih i fizičkih osoba izvan općeg proračuna</t>
  </si>
  <si>
    <t>Rezultat poslovanja</t>
  </si>
  <si>
    <t>Višak prihoda</t>
  </si>
  <si>
    <t>Višak/manjak prihoda</t>
  </si>
  <si>
    <t>Indeks</t>
  </si>
  <si>
    <t>PRIHODI POSLOVANJA</t>
  </si>
  <si>
    <t>RASHODI POSLOVANJA</t>
  </si>
  <si>
    <t>SVEUKUPNO RASHODI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</si>
  <si>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</si>
  <si>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</si>
  <si>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</si>
  <si>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</si>
  <si>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</si>
  <si>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</si>
  <si>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</si>
  <si>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</si>
  <si>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</si>
  <si>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</si>
  <si>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</si>
  <si>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</si>
  <si>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</si>
  <si>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</si>
  <si>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</si>
  <si>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</si>
  <si>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</si>
  <si>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</si>
  <si>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</si>
  <si>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</si>
  <si>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</si>
  <si>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</si>
  <si>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</si>
  <si>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</si>
  <si>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</si>
  <si>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</si>
  <si>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</si>
  <si>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</si>
  <si>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</si>
  <si>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</si>
  <si>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</si>
  <si>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Rashodi za nabavu proizvedene dugotrajne imovine</t>
  </si>
  <si>
    <t>Postrojenja i oprema</t>
  </si>
  <si>
    <t>Uređaji, strojevi i oprema za ostale namjene</t>
  </si>
  <si>
    <t>Knjige, umjetnička djela i ostale izložbene vrijednosti</t>
  </si>
  <si>
    <t>Knjige</t>
  </si>
  <si>
    <t>RASHODI ZA NABAVU NEFINANCIJSKE IMOVINE</t>
  </si>
  <si>
    <t>Ostale naknade troškova zaposlenima</t>
  </si>
  <si>
    <t>Materijal i sirovine</t>
  </si>
  <si>
    <t>Komunalne usluge</t>
  </si>
  <si>
    <t>Usluge promidžbe i informiranja</t>
  </si>
  <si>
    <t>Članarine i norme</t>
  </si>
  <si>
    <t>Uredska oprema i namještaj</t>
  </si>
  <si>
    <t>Naknade za prijevoz na posao i s posla</t>
  </si>
  <si>
    <t>Materijali  i sirovine</t>
  </si>
  <si>
    <t>Materijali i dijelovi za tekuće i investicijsko održavanje</t>
  </si>
  <si>
    <t>Doprinosi za OZO</t>
  </si>
  <si>
    <t>Aktivnost: A2204-07 Administracija i upravljanje</t>
  </si>
  <si>
    <t>Izvor financiranje: 51036 Državni proračun</t>
  </si>
  <si>
    <t>Novčana nak. posl. zbog nezapošljavanje osobe s inv.</t>
  </si>
  <si>
    <t>Program: 2204 SREDNJE ŠKOLSTVO – STANDARD</t>
  </si>
  <si>
    <t>Program: 2205 SREDNJE ŠKOLSTVO – IZNAD STANDARD</t>
  </si>
  <si>
    <t>Aktivnost: A2205-12 Podizanje kvalitete i standarda u školstvu</t>
  </si>
  <si>
    <t>Izvor financiranje: 5103 Državni proračun</t>
  </si>
  <si>
    <t>Naknade predst. i izvršnim tijelima povjerenstav i sl.</t>
  </si>
  <si>
    <t>Knjge</t>
  </si>
  <si>
    <t>Izvor financiranje: 41 Prihodi za posebne namjene</t>
  </si>
  <si>
    <t>Izvor financiranje: 31 Vlastiti prihodi - korisnici</t>
  </si>
  <si>
    <t>Izvor financiranje: 42035 Višak prihoda poslovanja</t>
  </si>
  <si>
    <t>Izvor financiranje: 51037 Državni proračun</t>
  </si>
  <si>
    <t>Program: 4306 NACIONALNI EU PROJEKTI</t>
  </si>
  <si>
    <t>Tekući projekt: T4306-03 Inkluzija – korak bliže društvu bez prepreka 2021./2022.</t>
  </si>
  <si>
    <t>Naknade za prijevoz</t>
  </si>
  <si>
    <t xml:space="preserve">Prihodi za posebne namjene </t>
  </si>
  <si>
    <t>UKUPNO</t>
  </si>
  <si>
    <t>Opći prihodi i primici</t>
  </si>
  <si>
    <t>Višak/manjak prihoda - ZŽ</t>
  </si>
  <si>
    <t>Predfinanciranje iz ŽP</t>
  </si>
  <si>
    <t>Vlastiti prihodi - korisnici</t>
  </si>
  <si>
    <t>Višak/manjak prihoda korisnici</t>
  </si>
  <si>
    <t>F.P. i dod. udio u por. na dohodak</t>
  </si>
  <si>
    <t>Državni proračun</t>
  </si>
  <si>
    <t>Pomoći iz inozemstva</t>
  </si>
  <si>
    <t>Tekuće donacije - korisnici</t>
  </si>
  <si>
    <t>PRIHODI PO IZVORIMA FINANCIRANJA</t>
  </si>
  <si>
    <t>šifra:</t>
  </si>
  <si>
    <t>Izvor financiranja:</t>
  </si>
  <si>
    <t>IF 19</t>
  </si>
  <si>
    <t>IF 11</t>
  </si>
  <si>
    <t>Ostali rashodi</t>
  </si>
  <si>
    <r>
      <t>5/2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</si>
  <si>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r>
      <t>5/4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</si>
  <si>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t>Aktivnost: A2205-34 Projekt e-škole</t>
  </si>
  <si>
    <t>110 Opći prihodi i primici</t>
  </si>
  <si>
    <t>Intelektualne usluge</t>
  </si>
  <si>
    <t>Aktivnost: A2205-37 Zalihe menstrualnih higijenskih potrepština</t>
  </si>
  <si>
    <t>Izvor financiranje: 511904 Državni proračun</t>
  </si>
  <si>
    <t>Na temelju Zakona o proračunu ("Narodne novine" broj 144/21) i Pravilnika o polugodišnjem i godišnjem izvještaju o izvršenju proračuna i financijskog plana ("Narodne novine" broj 85/23) HOTELIJERSKO – TURISTIČKA I UGOSTITELJSKA ŠKOLA ZADAR podnosi školskom odboru:</t>
  </si>
  <si>
    <t>A. SAŽETAK RAČUNA PRIHODA I RASHODA</t>
  </si>
  <si>
    <t>B. SAŽETAK RAČUNA FINANCIRANJA</t>
  </si>
  <si>
    <t>UKUPNO PRIHODI + VIŠAK KORIŠTEN ZA POKRIĆE RASHODA</t>
  </si>
  <si>
    <t>Brojčana oznaka i naziv</t>
  </si>
  <si>
    <t>09</t>
  </si>
  <si>
    <t>Obrazovanje</t>
  </si>
  <si>
    <t>Srednjoškolsko obrazovanje</t>
  </si>
  <si>
    <t>092</t>
  </si>
  <si>
    <t>0922</t>
  </si>
  <si>
    <t>Više srednjoškolsko obrazovanje</t>
  </si>
  <si>
    <r>
      <t>4/3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</si>
  <si>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t>SAŽETAK RAČUNA PRIHODA I RASHODA I RAČUNA FINANCIRANJA</t>
  </si>
  <si>
    <t xml:space="preserve">I. OPĆI DIO </t>
  </si>
  <si>
    <t>RAČUN PRIHODA I RASHODA</t>
  </si>
  <si>
    <t>BROJČANA OZNAKA I NAZIV</t>
  </si>
  <si>
    <t>IZVJEŠTAJ O PRIHODIMA I RASHODIMA PREMA IZVORIMA FINANCIRANJA</t>
  </si>
  <si>
    <t>IZVJEŠTAJ O RASHODIMA PREMA FUNKCIJSKOJ KLASIFIKACIJI</t>
  </si>
  <si>
    <t>II. POSEBNI DIO</t>
  </si>
  <si>
    <t>Tekuće donacije u naravi</t>
  </si>
  <si>
    <t>HOTELIJERSKO – TURISTIČKA I UGOSTITELJSKA ŠKOLA ZADAR</t>
  </si>
  <si>
    <t>Vlatiti prihodi</t>
  </si>
  <si>
    <t>Pomoći</t>
  </si>
  <si>
    <t>Donacije</t>
  </si>
  <si>
    <t>Brojčana oznaka i naziv funkcijske klasifikacije</t>
  </si>
  <si>
    <t>RASHODI PO IZVORIMA FINANCIRANJA</t>
  </si>
  <si>
    <t>Materijal za hig. potrebe u njegu</t>
  </si>
  <si>
    <t>Izvori financiranja ukupno</t>
  </si>
  <si>
    <t>Vlastiti prihodi</t>
  </si>
  <si>
    <t>Prihodi za posebne namjene</t>
  </si>
  <si>
    <t>Ostvarenje/ izvršenje 2024.</t>
  </si>
  <si>
    <t>Izvršenje 2024.</t>
  </si>
  <si>
    <t>IF 12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</si>
  <si>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</si>
  <si>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</si>
  <si>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</si>
  <si>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</si>
  <si>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</si>
  <si>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UKUPNO PRIHODI</t>
  </si>
  <si>
    <t>096</t>
  </si>
  <si>
    <t>0960</t>
  </si>
  <si>
    <t>Dodatne usluge u obrazovanju</t>
  </si>
  <si>
    <t>POLUGODIŠNJI IZVJEŠTAJ O IZVRŠENJU FINANCIJSKOG PLANA HOTELIJERSKO - TURISTIČKE I UGOSTITELJSKE ŠKOLE ZADAR ZA 2025. GODINU</t>
  </si>
  <si>
    <t>Izvorni plan/ rebalans 2025.</t>
  </si>
  <si>
    <t>Tekući financijski plan 2025.</t>
  </si>
  <si>
    <t>Ostvarenje/ izvršenje 2025.</t>
  </si>
  <si>
    <t>POLUGODIŠNJI IZVJEŠTAJ O PRIHODIMA I RASHODIMA PREMA EKONOMSKOJ KLASIFIKACIJI</t>
  </si>
  <si>
    <t>Tekući plan 2025.</t>
  </si>
  <si>
    <t>Izvršenje 2025.</t>
  </si>
  <si>
    <t>IZVJEŠTAJ O IZVRŠENJU FINANCIJSKOG PLANA 2025. PREMA EKONOMSKOJ KLASIFIKACIJI, PROGRAMIMA TE IZVORIMA FINANCIRANJA</t>
  </si>
  <si>
    <t>Izvor financiranje: 61 Donacije</t>
  </si>
  <si>
    <t>Oprema za održavanje i zaštitu</t>
  </si>
  <si>
    <t>Aktivnost: T2204-04 Hitne intervencije u srednjim školama</t>
  </si>
  <si>
    <t xml:space="preserve">Izvor financiranje: 12154, 12151, 190062, 110 - </t>
  </si>
  <si>
    <t>Višak prihoda - ZŽ, Predfinanciranje iz ŽP, Opći prihodi i primici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</si>
</sst>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??/1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 tint="0.3999755851924192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37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4" fontId="0" fillId="0" borderId="0" xfId="0" applyNumberFormat="1"/>
    <xf numFmtId="0" fontId="7" fillId="2" borderId="21" xfId="0" applyFont="1" applyFill="1" applyBorder="1" applyAlignment="1">
      <alignment horizontal="right"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4" fontId="0" fillId="0" borderId="0" xfId="0" applyNumberFormat="1" applyAlignment="1">
      <alignment horizontal="center"/>
    </xf>
    <xf numFmtId="4" fontId="1" fillId="0" borderId="21" xfId="0" applyNumberFormat="1" applyFon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1" fillId="6" borderId="23" xfId="0" applyNumberFormat="1" applyFont="1" applyFill="1" applyBorder="1" applyAlignment="1">
      <alignment horizontal="right" vertical="center"/>
    </xf>
    <xf numFmtId="4" fontId="1" fillId="5" borderId="37" xfId="0" applyNumberFormat="1" applyFont="1" applyFill="1" applyBorder="1" applyAlignment="1">
      <alignment horizontal="right" vertical="center"/>
    </xf>
    <xf numFmtId="4" fontId="1" fillId="5" borderId="26" xfId="0" applyNumberFormat="1" applyFont="1" applyFill="1" applyBorder="1" applyAlignment="1">
      <alignment horizontal="right" vertical="center"/>
    </xf>
    <xf numFmtId="4" fontId="1" fillId="3" borderId="20" xfId="0" applyNumberFormat="1" applyFont="1" applyFill="1" applyBorder="1" applyAlignment="1">
      <alignment horizontal="right" vertical="center"/>
    </xf>
    <xf numFmtId="4" fontId="1" fillId="0" borderId="30" xfId="0" applyNumberFormat="1" applyFont="1" applyBorder="1" applyAlignment="1">
      <alignment vertical="center"/>
    </xf>
    <xf numFmtId="4" fontId="0" fillId="0" borderId="21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1" fillId="0" borderId="0" xfId="0" applyFont="1" applyAlignment="1">
      <alignment horizontal="center"/>
    </xf>
    <xf numFmtId="0" fontId="3" fillId="3" borderId="32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4" fontId="1" fillId="3" borderId="21" xfId="0" applyNumberFormat="1" applyFont="1" applyFill="1" applyBorder="1" applyAlignment="1">
      <alignment horizontal="right"/>
    </xf>
    <xf numFmtId="4" fontId="0" fillId="0" borderId="21" xfId="0" applyNumberFormat="1" applyBorder="1" applyAlignment="1">
      <alignment horizontal="right"/>
    </xf>
    <xf numFmtId="4" fontId="1" fillId="0" borderId="22" xfId="0" applyNumberFormat="1" applyFont="1" applyBorder="1" applyAlignment="1">
      <alignment horizontal="right"/>
    </xf>
    <xf numFmtId="4" fontId="1" fillId="2" borderId="23" xfId="0" applyNumberFormat="1" applyFont="1" applyFill="1" applyBorder="1" applyAlignment="1">
      <alignment horizontal="center" vertical="center"/>
    </xf>
    <xf numFmtId="4" fontId="0" fillId="0" borderId="25" xfId="0" applyNumberFormat="1" applyBorder="1" applyAlignment="1">
      <alignment horizontal="right"/>
    </xf>
    <xf numFmtId="49" fontId="3" fillId="3" borderId="31" xfId="0" applyNumberFormat="1" applyFont="1" applyFill="1" applyBorder="1" applyAlignment="1">
      <alignment horizontal="right" vertical="center"/>
    </xf>
    <xf numFmtId="0" fontId="3" fillId="3" borderId="32" xfId="0" applyFont="1" applyFill="1" applyBorder="1" applyAlignment="1">
      <alignment vertical="center"/>
    </xf>
    <xf numFmtId="4" fontId="0" fillId="4" borderId="21" xfId="0" applyNumberFormat="1" applyFont="1" applyFill="1" applyBorder="1" applyAlignment="1">
      <alignment horizontal="right" vertical="center"/>
    </xf>
    <xf numFmtId="4" fontId="1" fillId="0" borderId="25" xfId="0" applyNumberFormat="1" applyFont="1" applyBorder="1" applyAlignment="1">
      <alignment horizontal="right" vertical="center"/>
    </xf>
    <xf numFmtId="4" fontId="0" fillId="0" borderId="25" xfId="0" applyNumberFormat="1" applyBorder="1" applyAlignment="1">
      <alignment horizontal="right" vertical="center"/>
    </xf>
    <xf numFmtId="4" fontId="1" fillId="3" borderId="26" xfId="0" applyNumberFormat="1" applyFont="1" applyFill="1" applyBorder="1" applyAlignment="1">
      <alignment horizontal="right" vertical="center"/>
    </xf>
    <xf numFmtId="0" fontId="1" fillId="0" borderId="0" xfId="0" applyFont="1" applyAlignment="1"/>
    <xf numFmtId="4" fontId="0" fillId="0" borderId="25" xfId="0" applyNumberFormat="1" applyBorder="1" applyAlignment="1">
      <alignment horizontal="right" vertical="center"/>
    </xf>
    <xf numFmtId="4" fontId="1" fillId="0" borderId="25" xfId="0" applyNumberFormat="1" applyFont="1" applyBorder="1" applyAlignment="1">
      <alignment horizontal="right" vertical="center"/>
    </xf>
    <xf numFmtId="0" fontId="1" fillId="7" borderId="41" xfId="0" applyFont="1" applyFill="1" applyBorder="1" applyAlignment="1">
      <alignment vertical="center"/>
    </xf>
    <xf numFmtId="0" fontId="1" fillId="7" borderId="39" xfId="0" applyFont="1" applyFill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4" fontId="1" fillId="0" borderId="20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vertical="center"/>
    </xf>
    <xf numFmtId="0" fontId="1" fillId="7" borderId="38" xfId="0" applyFont="1" applyFill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10" fillId="0" borderId="21" xfId="0" applyNumberFormat="1" applyFont="1" applyBorder="1" applyAlignment="1">
      <alignment horizontal="right" vertical="center"/>
    </xf>
    <xf numFmtId="0" fontId="0" fillId="0" borderId="0" xfId="0"/>
    <xf numFmtId="0" fontId="1" fillId="0" borderId="0" xfId="0" applyFont="1"/>
    <xf numFmtId="4" fontId="1" fillId="0" borderId="25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4" fontId="1" fillId="4" borderId="2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4" fontId="3" fillId="3" borderId="25" xfId="0" applyNumberFormat="1" applyFont="1" applyFill="1" applyBorder="1" applyAlignment="1">
      <alignment horizontal="right" vertical="center"/>
    </xf>
    <xf numFmtId="4" fontId="2" fillId="4" borderId="21" xfId="0" applyNumberFormat="1" applyFont="1" applyFill="1" applyBorder="1" applyAlignment="1">
      <alignment horizontal="right" vertical="center"/>
    </xf>
    <xf numFmtId="4" fontId="3" fillId="3" borderId="21" xfId="0" applyNumberFormat="1" applyFont="1" applyFill="1" applyBorder="1" applyAlignment="1">
      <alignment horizontal="right" vertical="center"/>
    </xf>
    <xf numFmtId="4" fontId="3" fillId="4" borderId="21" xfId="0" applyNumberFormat="1" applyFont="1" applyFill="1" applyBorder="1" applyAlignment="1">
      <alignment horizontal="right" vertical="center"/>
    </xf>
    <xf numFmtId="4" fontId="2" fillId="4" borderId="26" xfId="0" applyNumberFormat="1" applyFont="1" applyFill="1" applyBorder="1" applyAlignment="1">
      <alignment horizontal="right" vertical="center"/>
    </xf>
    <xf numFmtId="4" fontId="3" fillId="2" borderId="30" xfId="0" applyNumberFormat="1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4" fontId="3" fillId="3" borderId="20" xfId="0" applyNumberFormat="1" applyFont="1" applyFill="1" applyBorder="1" applyAlignment="1">
      <alignment horizontal="right" vertical="center"/>
    </xf>
    <xf numFmtId="4" fontId="3" fillId="0" borderId="21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3" fillId="3" borderId="3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49" fontId="5" fillId="0" borderId="12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49" fontId="3" fillId="0" borderId="12" xfId="0" applyNumberFormat="1" applyFont="1" applyBorder="1" applyAlignment="1">
      <alignment horizontal="right" vertical="center"/>
    </xf>
    <xf numFmtId="49" fontId="5" fillId="0" borderId="16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4" fontId="0" fillId="4" borderId="22" xfId="0" applyNumberFormat="1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4" fontId="1" fillId="3" borderId="26" xfId="0" applyNumberFormat="1" applyFont="1" applyFill="1" applyBorder="1" applyAlignment="1">
      <alignment horizontal="right" vertical="center"/>
    </xf>
    <xf numFmtId="0" fontId="5" fillId="0" borderId="36" xfId="0" applyFont="1" applyBorder="1" applyAlignment="1">
      <alignment horizont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0" fillId="0" borderId="0" xfId="0" applyBorder="1"/>
    <xf numFmtId="0" fontId="5" fillId="0" borderId="2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/>
    </xf>
    <xf numFmtId="4" fontId="0" fillId="0" borderId="14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4" fontId="1" fillId="0" borderId="16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4" fontId="1" fillId="3" borderId="12" xfId="0" applyNumberFormat="1" applyFont="1" applyFill="1" applyBorder="1" applyAlignment="1">
      <alignment horizontal="center"/>
    </xf>
    <xf numFmtId="4" fontId="1" fillId="3" borderId="18" xfId="0" applyNumberFormat="1" applyFont="1" applyFill="1" applyBorder="1" applyAlignment="1">
      <alignment horizontal="center"/>
    </xf>
    <xf numFmtId="4" fontId="0" fillId="0" borderId="12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11" fillId="2" borderId="30" xfId="0" applyNumberFormat="1" applyFont="1" applyFill="1" applyBorder="1" applyAlignment="1">
      <alignment horizontal="center"/>
    </xf>
    <xf numFmtId="4" fontId="3" fillId="3" borderId="12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5" fillId="0" borderId="34" xfId="0" applyNumberFormat="1" applyFont="1" applyBorder="1" applyAlignment="1">
      <alignment horizontal="center" vertical="center"/>
    </xf>
    <xf numFmtId="4" fontId="5" fillId="0" borderId="36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3" fillId="3" borderId="31" xfId="0" applyNumberFormat="1" applyFont="1" applyFill="1" applyBorder="1" applyAlignment="1">
      <alignment horizontal="center" vertical="center"/>
    </xf>
    <xf numFmtId="4" fontId="3" fillId="3" borderId="33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36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3" borderId="28" xfId="0" applyNumberFormat="1" applyFont="1" applyFill="1" applyBorder="1" applyAlignment="1">
      <alignment horizontal="center" vertical="center"/>
    </xf>
    <xf numFmtId="4" fontId="3" fillId="3" borderId="29" xfId="0" applyNumberFormat="1" applyFont="1" applyFill="1" applyBorder="1" applyAlignment="1">
      <alignment horizontal="center" vertical="center"/>
    </xf>
    <xf numFmtId="4" fontId="2" fillId="0" borderId="34" xfId="0" applyNumberFormat="1" applyFont="1" applyBorder="1" applyAlignment="1">
      <alignment horizontal="center" vertical="center" wrapText="1"/>
    </xf>
    <xf numFmtId="4" fontId="2" fillId="0" borderId="36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4" fontId="5" fillId="4" borderId="34" xfId="0" applyNumberFormat="1" applyFont="1" applyFill="1" applyBorder="1" applyAlignment="1">
      <alignment horizontal="center" vertical="center" wrapText="1"/>
    </xf>
    <xf numFmtId="4" fontId="5" fillId="4" borderId="36" xfId="0" applyNumberFormat="1" applyFont="1" applyFill="1" applyBorder="1" applyAlignment="1">
      <alignment horizontal="center" vertical="center" wrapText="1"/>
    </xf>
    <xf numFmtId="4" fontId="3" fillId="4" borderId="21" xfId="0" applyNumberFormat="1" applyFont="1" applyFill="1" applyBorder="1" applyAlignment="1">
      <alignment horizontal="right" vertical="center"/>
    </xf>
    <xf numFmtId="4" fontId="2" fillId="4" borderId="21" xfId="0" applyNumberFormat="1" applyFont="1" applyFill="1" applyBorder="1" applyAlignment="1">
      <alignment horizontal="right" vertical="center"/>
    </xf>
    <xf numFmtId="4" fontId="3" fillId="3" borderId="25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4" fontId="5" fillId="0" borderId="18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right" vertical="center"/>
    </xf>
    <xf numFmtId="4" fontId="2" fillId="0" borderId="25" xfId="0" applyNumberFormat="1" applyFont="1" applyBorder="1" applyAlignment="1">
      <alignment horizontal="right" vertical="center"/>
    </xf>
    <xf numFmtId="4" fontId="5" fillId="0" borderId="35" xfId="0" applyNumberFormat="1" applyFont="1" applyBorder="1" applyAlignment="1">
      <alignment horizontal="center" vertical="center"/>
    </xf>
    <xf numFmtId="4" fontId="1" fillId="0" borderId="38" xfId="0" applyNumberFormat="1" applyFont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 vertical="center"/>
    </xf>
    <xf numFmtId="4" fontId="0" fillId="4" borderId="18" xfId="0" applyNumberForma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4" fontId="1" fillId="0" borderId="31" xfId="0" applyNumberFormat="1" applyFont="1" applyBorder="1" applyAlignment="1">
      <alignment horizontal="center" vertical="center"/>
    </xf>
    <xf numFmtId="4" fontId="1" fillId="0" borderId="33" xfId="0" applyNumberFormat="1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0" fillId="0" borderId="34" xfId="0" applyNumberFormat="1" applyBorder="1" applyAlignment="1">
      <alignment horizontal="center" vertical="center"/>
    </xf>
    <xf numFmtId="4" fontId="0" fillId="0" borderId="36" xfId="0" applyNumberFormat="1" applyBorder="1" applyAlignment="1">
      <alignment horizontal="center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" fillId="3" borderId="18" xfId="0" applyNumberFormat="1" applyFont="1" applyFill="1" applyBorder="1" applyAlignment="1">
      <alignment horizontal="center" vertical="center"/>
    </xf>
    <xf numFmtId="4" fontId="1" fillId="3" borderId="34" xfId="0" applyNumberFormat="1" applyFont="1" applyFill="1" applyBorder="1" applyAlignment="1">
      <alignment horizontal="center" vertical="center"/>
    </xf>
    <xf numFmtId="4" fontId="1" fillId="3" borderId="36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24" xfId="0" applyNumberFormat="1" applyFon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4" fontId="0" fillId="0" borderId="29" xfId="0" applyNumberForma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 applyAlignment="1">
      <alignment horizontal="center" vertical="center"/>
    </xf>
    <xf numFmtId="4" fontId="1" fillId="5" borderId="34" xfId="0" applyNumberFormat="1" applyFont="1" applyFill="1" applyBorder="1" applyAlignment="1">
      <alignment horizontal="center" vertical="center"/>
    </xf>
    <xf numFmtId="4" fontId="1" fillId="5" borderId="36" xfId="0" applyNumberFormat="1" applyFont="1" applyFill="1" applyBorder="1" applyAlignment="1">
      <alignment horizontal="center" vertical="center"/>
    </xf>
    <xf numFmtId="4" fontId="1" fillId="3" borderId="26" xfId="0" applyNumberFormat="1" applyFont="1" applyFill="1" applyBorder="1" applyAlignment="1">
      <alignment horizontal="right" vertical="center"/>
    </xf>
    <xf numFmtId="4" fontId="1" fillId="3" borderId="37" xfId="0" applyNumberFormat="1" applyFont="1" applyFill="1" applyBorder="1" applyAlignment="1">
      <alignment horizontal="right" vertical="center"/>
    </xf>
    <xf numFmtId="4" fontId="1" fillId="3" borderId="25" xfId="0" applyNumberFormat="1" applyFont="1" applyFill="1" applyBorder="1" applyAlignment="1">
      <alignment horizontal="right" vertical="center"/>
    </xf>
    <xf numFmtId="4" fontId="1" fillId="6" borderId="23" xfId="0" applyNumberFormat="1" applyFont="1" applyFill="1" applyBorder="1" applyAlignment="1">
      <alignment horizontal="center" vertical="center"/>
    </xf>
    <xf numFmtId="4" fontId="1" fillId="5" borderId="28" xfId="0" applyNumberFormat="1" applyFont="1" applyFill="1" applyBorder="1" applyAlignment="1">
      <alignment horizontal="center" vertical="center"/>
    </xf>
    <xf numFmtId="4" fontId="1" fillId="5" borderId="29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1" fillId="5" borderId="34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4" fontId="1" fillId="3" borderId="28" xfId="0" applyNumberFormat="1" applyFont="1" applyFill="1" applyBorder="1" applyAlignment="1">
      <alignment horizontal="center" vertical="center"/>
    </xf>
    <xf numFmtId="4" fontId="1" fillId="3" borderId="29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Normal="100" workbookViewId="0"/>
  </sheetViews>
  <sheetFormatPr defaultRowHeight="15" x14ac:dyDescent="0.25"/>
  <cols>
    <col min="1" max="3" width="8.85546875" customWidth="1"/>
    <col min="4" max="4" width="12.85546875" customWidth="1"/>
    <col min="5" max="12" width="8.85546875" customWidth="1"/>
    <col min="15" max="15" width="12.7109375" bestFit="1" customWidth="1"/>
  </cols>
  <sheetData>
    <row r="1" spans="1:14" x14ac:dyDescent="0.25">
      <c r="A1" s="1" t="s">
        <v>14</v>
      </c>
    </row>
    <row r="2" spans="1:14" x14ac:dyDescent="0.25">
      <c r="A2" t="s">
        <v>12</v>
      </c>
    </row>
    <row r="3" spans="1:14" x14ac:dyDescent="0.25">
      <c r="A3" t="s">
        <v>13</v>
      </c>
    </row>
    <row r="5" spans="1:14" ht="15" customHeight="1" x14ac:dyDescent="0.25">
      <c r="A5" s="190" t="s">
        <v>130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14" x14ac:dyDescent="0.25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x14ac:dyDescent="0.25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</row>
    <row r="9" spans="1:14" ht="15" customHeight="1" x14ac:dyDescent="0.25">
      <c r="A9" s="150" t="s">
        <v>172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</row>
    <row r="10" spans="1:14" s="74" customFormat="1" x14ac:dyDescent="0.25">
      <c r="A10" s="150"/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</row>
    <row r="11" spans="1:14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x14ac:dyDescent="0.25">
      <c r="A12" s="150" t="s">
        <v>0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</row>
    <row r="13" spans="1:14" x14ac:dyDescent="0.25">
      <c r="A13" s="150" t="s">
        <v>142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</row>
    <row r="15" spans="1:14" ht="15.75" thickBot="1" x14ac:dyDescent="0.3">
      <c r="A15" s="1" t="s">
        <v>131</v>
      </c>
    </row>
    <row r="16" spans="1:14" ht="15" customHeight="1" x14ac:dyDescent="0.25">
      <c r="A16" s="191" t="s">
        <v>1</v>
      </c>
      <c r="B16" s="192"/>
      <c r="C16" s="192"/>
      <c r="D16" s="193"/>
      <c r="E16" s="164" t="s">
        <v>160</v>
      </c>
      <c r="F16" s="164"/>
      <c r="G16" s="151" t="s">
        <v>173</v>
      </c>
      <c r="H16" s="152"/>
      <c r="I16" s="158" t="s">
        <v>174</v>
      </c>
      <c r="J16" s="159"/>
      <c r="K16" s="164" t="s">
        <v>175</v>
      </c>
      <c r="L16" s="164"/>
      <c r="M16" s="18" t="s">
        <v>39</v>
      </c>
      <c r="N16" s="18" t="s">
        <v>39</v>
      </c>
    </row>
    <row r="17" spans="1:15" x14ac:dyDescent="0.25">
      <c r="A17" s="194"/>
      <c r="B17" s="195"/>
      <c r="C17" s="195"/>
      <c r="D17" s="196"/>
      <c r="E17" s="165"/>
      <c r="F17" s="165"/>
      <c r="G17" s="153"/>
      <c r="H17" s="154"/>
      <c r="I17" s="160"/>
      <c r="J17" s="161"/>
      <c r="K17" s="165"/>
      <c r="L17" s="165"/>
      <c r="M17" s="21" t="s">
        <v>123</v>
      </c>
      <c r="N17" s="19" t="s">
        <v>124</v>
      </c>
    </row>
    <row r="18" spans="1:15" ht="15.75" thickBot="1" x14ac:dyDescent="0.3">
      <c r="A18" s="147">
        <v>1</v>
      </c>
      <c r="B18" s="148"/>
      <c r="C18" s="148"/>
      <c r="D18" s="149"/>
      <c r="E18" s="155">
        <v>2</v>
      </c>
      <c r="F18" s="155"/>
      <c r="G18" s="155">
        <v>3</v>
      </c>
      <c r="H18" s="155"/>
      <c r="I18" s="155">
        <v>4</v>
      </c>
      <c r="J18" s="155"/>
      <c r="K18" s="155">
        <v>5</v>
      </c>
      <c r="L18" s="155"/>
      <c r="M18" s="20">
        <v>6</v>
      </c>
      <c r="N18" s="20">
        <v>7</v>
      </c>
    </row>
    <row r="19" spans="1:15" x14ac:dyDescent="0.25">
      <c r="A19" s="183" t="s">
        <v>2</v>
      </c>
      <c r="B19" s="184"/>
      <c r="C19" s="184"/>
      <c r="D19" s="185"/>
      <c r="E19" s="176">
        <v>1084875.06</v>
      </c>
      <c r="F19" s="177"/>
      <c r="G19" s="156">
        <v>2348314.75</v>
      </c>
      <c r="H19" s="157"/>
      <c r="I19" s="156">
        <v>2394431.6800000002</v>
      </c>
      <c r="J19" s="157"/>
      <c r="K19" s="178">
        <v>1164509.17</v>
      </c>
      <c r="L19" s="179"/>
      <c r="M19" s="55">
        <f>K19/E19*100</f>
        <v>107.34039457041256</v>
      </c>
      <c r="N19" s="55">
        <f>K19/I19*100</f>
        <v>48.634052903944195</v>
      </c>
      <c r="O19" s="25"/>
    </row>
    <row r="20" spans="1:15" x14ac:dyDescent="0.25">
      <c r="A20" s="180" t="s">
        <v>3</v>
      </c>
      <c r="B20" s="181"/>
      <c r="C20" s="181"/>
      <c r="D20" s="182"/>
      <c r="E20" s="176"/>
      <c r="F20" s="177"/>
      <c r="G20" s="176">
        <v>0</v>
      </c>
      <c r="H20" s="177"/>
      <c r="I20" s="176">
        <v>0</v>
      </c>
      <c r="J20" s="177"/>
      <c r="K20" s="176">
        <v>0</v>
      </c>
      <c r="L20" s="177"/>
      <c r="M20" s="52" t="e">
        <f>K20/E20*100</f>
        <v>#DIV/0!</v>
      </c>
      <c r="N20" s="52" t="e">
        <f>K20/I20*100</f>
        <v>#DIV/0!</v>
      </c>
    </row>
    <row r="21" spans="1:15" x14ac:dyDescent="0.25">
      <c r="A21" s="180" t="s">
        <v>11</v>
      </c>
      <c r="B21" s="181"/>
      <c r="C21" s="181"/>
      <c r="D21" s="182"/>
      <c r="E21" s="176">
        <v>15497.11</v>
      </c>
      <c r="F21" s="177"/>
      <c r="G21" s="176">
        <v>20000</v>
      </c>
      <c r="H21" s="177"/>
      <c r="I21" s="176">
        <v>20000</v>
      </c>
      <c r="J21" s="177"/>
      <c r="K21" s="176">
        <v>48676.31</v>
      </c>
      <c r="L21" s="177"/>
      <c r="M21" s="52">
        <f t="shared" ref="M21:M34" si="0">K21/E21*100</f>
        <v>314.09927399366717</v>
      </c>
      <c r="N21" s="52">
        <f t="shared" ref="N21:N34" si="1">K21/I21*100</f>
        <v>243.38154999999998</v>
      </c>
    </row>
    <row r="22" spans="1:15" s="74" customFormat="1" x14ac:dyDescent="0.25">
      <c r="A22" s="168" t="s">
        <v>4</v>
      </c>
      <c r="B22" s="169"/>
      <c r="C22" s="169"/>
      <c r="D22" s="170"/>
      <c r="E22" s="174">
        <f>SUM(E19:F21)</f>
        <v>1100372.1700000002</v>
      </c>
      <c r="F22" s="175"/>
      <c r="G22" s="174">
        <f>SUM(G19:H21)</f>
        <v>2368314.75</v>
      </c>
      <c r="H22" s="175"/>
      <c r="I22" s="174">
        <f>SUM(I19:J21)</f>
        <v>2414431.6800000002</v>
      </c>
      <c r="J22" s="175"/>
      <c r="K22" s="174">
        <f>SUM(K19:L21)</f>
        <v>1213185.48</v>
      </c>
      <c r="L22" s="175"/>
      <c r="M22" s="51">
        <f>K22/E22*100</f>
        <v>110.25228673313319</v>
      </c>
      <c r="N22" s="51">
        <f>K22/I22*100</f>
        <v>50.247248246842076</v>
      </c>
    </row>
    <row r="23" spans="1:15" x14ac:dyDescent="0.25">
      <c r="A23" s="180" t="s">
        <v>5</v>
      </c>
      <c r="B23" s="181"/>
      <c r="C23" s="181"/>
      <c r="D23" s="182"/>
      <c r="E23" s="176">
        <v>1073962.24</v>
      </c>
      <c r="F23" s="177"/>
      <c r="G23" s="176">
        <f>2368314.75-G24</f>
        <v>2350314.75</v>
      </c>
      <c r="H23" s="177"/>
      <c r="I23" s="176">
        <f>2414431.68-I24</f>
        <v>2396431.6800000002</v>
      </c>
      <c r="J23" s="177"/>
      <c r="K23" s="176">
        <v>1327430.8999999999</v>
      </c>
      <c r="L23" s="177"/>
      <c r="M23" s="52">
        <f t="shared" si="0"/>
        <v>123.60126367198905</v>
      </c>
      <c r="N23" s="52">
        <f t="shared" si="1"/>
        <v>55.391977625667167</v>
      </c>
      <c r="O23" s="25"/>
    </row>
    <row r="24" spans="1:15" x14ac:dyDescent="0.25">
      <c r="A24" s="180" t="s">
        <v>6</v>
      </c>
      <c r="B24" s="181"/>
      <c r="C24" s="181"/>
      <c r="D24" s="182"/>
      <c r="E24" s="176">
        <v>1493.13</v>
      </c>
      <c r="F24" s="177"/>
      <c r="G24" s="176">
        <f>18000</f>
        <v>18000</v>
      </c>
      <c r="H24" s="177"/>
      <c r="I24" s="176">
        <v>18000</v>
      </c>
      <c r="J24" s="177"/>
      <c r="K24" s="176">
        <v>2268.4699999999998</v>
      </c>
      <c r="L24" s="177"/>
      <c r="M24" s="52">
        <f t="shared" si="0"/>
        <v>151.92715972487323</v>
      </c>
      <c r="N24" s="52">
        <f t="shared" si="1"/>
        <v>12.602611111111109</v>
      </c>
      <c r="O24" s="25"/>
    </row>
    <row r="25" spans="1:15" s="74" customFormat="1" x14ac:dyDescent="0.25">
      <c r="A25" s="168" t="s">
        <v>7</v>
      </c>
      <c r="B25" s="169"/>
      <c r="C25" s="169"/>
      <c r="D25" s="170"/>
      <c r="E25" s="174">
        <f>SUM(E23:F24)</f>
        <v>1075455.3699999999</v>
      </c>
      <c r="F25" s="175"/>
      <c r="G25" s="174">
        <f>SUM(G23:H24)</f>
        <v>2368314.75</v>
      </c>
      <c r="H25" s="175"/>
      <c r="I25" s="174">
        <f>SUM(I23:J24)</f>
        <v>2414431.6800000002</v>
      </c>
      <c r="J25" s="175"/>
      <c r="K25" s="174">
        <f>SUM(K23:L24)</f>
        <v>1329699.3699999999</v>
      </c>
      <c r="L25" s="175"/>
      <c r="M25" s="51">
        <f t="shared" ref="M25" si="2">K25/E25*100</f>
        <v>123.64059049702824</v>
      </c>
      <c r="N25" s="51">
        <f t="shared" ref="N25" si="3">K25/I25*100</f>
        <v>55.072975599789999</v>
      </c>
      <c r="O25" s="25"/>
    </row>
    <row r="26" spans="1:15" ht="15.75" thickBot="1" x14ac:dyDescent="0.3">
      <c r="A26" s="171" t="s">
        <v>8</v>
      </c>
      <c r="B26" s="172"/>
      <c r="C26" s="172"/>
      <c r="D26" s="173"/>
      <c r="E26" s="162">
        <f>E22-E25</f>
        <v>24916.800000000279</v>
      </c>
      <c r="F26" s="163"/>
      <c r="G26" s="162">
        <f>G22-G25</f>
        <v>0</v>
      </c>
      <c r="H26" s="163"/>
      <c r="I26" s="162">
        <f>I22-I25</f>
        <v>0</v>
      </c>
      <c r="J26" s="163"/>
      <c r="K26" s="162">
        <f>K22-K25</f>
        <v>-116513.8899999999</v>
      </c>
      <c r="L26" s="163"/>
      <c r="M26" s="53">
        <f t="shared" si="0"/>
        <v>-467.61177197713425</v>
      </c>
      <c r="N26" s="53" t="e">
        <f t="shared" si="1"/>
        <v>#DIV/0!</v>
      </c>
    </row>
    <row r="27" spans="1:15" x14ac:dyDescent="0.25">
      <c r="M27" s="25"/>
      <c r="N27" s="25"/>
      <c r="O27" s="25"/>
    </row>
    <row r="28" spans="1:15" ht="15.75" thickBot="1" x14ac:dyDescent="0.3">
      <c r="A28" s="1" t="s">
        <v>132</v>
      </c>
    </row>
    <row r="29" spans="1:15" ht="15" customHeight="1" x14ac:dyDescent="0.25">
      <c r="A29" s="166" t="s">
        <v>145</v>
      </c>
      <c r="B29" s="166"/>
      <c r="C29" s="166"/>
      <c r="D29" s="166"/>
      <c r="E29" s="164" t="s">
        <v>160</v>
      </c>
      <c r="F29" s="164"/>
      <c r="G29" s="151" t="s">
        <v>173</v>
      </c>
      <c r="H29" s="152"/>
      <c r="I29" s="158" t="s">
        <v>174</v>
      </c>
      <c r="J29" s="159"/>
      <c r="K29" s="164" t="s">
        <v>175</v>
      </c>
      <c r="L29" s="164"/>
      <c r="M29" s="54" t="s">
        <v>39</v>
      </c>
      <c r="N29" s="18" t="s">
        <v>39</v>
      </c>
    </row>
    <row r="30" spans="1:15" x14ac:dyDescent="0.25">
      <c r="A30" s="167"/>
      <c r="B30" s="167"/>
      <c r="C30" s="167"/>
      <c r="D30" s="167"/>
      <c r="E30" s="165"/>
      <c r="F30" s="165"/>
      <c r="G30" s="153"/>
      <c r="H30" s="154"/>
      <c r="I30" s="160"/>
      <c r="J30" s="161"/>
      <c r="K30" s="165"/>
      <c r="L30" s="165"/>
      <c r="M30" s="21" t="s">
        <v>123</v>
      </c>
      <c r="N30" s="19" t="s">
        <v>124</v>
      </c>
      <c r="O30" s="25"/>
    </row>
    <row r="31" spans="1:15" ht="15.75" thickBot="1" x14ac:dyDescent="0.3">
      <c r="A31" s="147">
        <v>1</v>
      </c>
      <c r="B31" s="148"/>
      <c r="C31" s="148"/>
      <c r="D31" s="149"/>
      <c r="E31" s="155">
        <v>2</v>
      </c>
      <c r="F31" s="155"/>
      <c r="G31" s="155">
        <v>3</v>
      </c>
      <c r="H31" s="155"/>
      <c r="I31" s="155">
        <v>4</v>
      </c>
      <c r="J31" s="155"/>
      <c r="K31" s="155">
        <v>5</v>
      </c>
      <c r="L31" s="155"/>
      <c r="M31" s="20">
        <v>6</v>
      </c>
      <c r="N31" s="20">
        <v>7</v>
      </c>
      <c r="O31" s="25"/>
    </row>
    <row r="32" spans="1:15" x14ac:dyDescent="0.25">
      <c r="A32" s="186" t="s">
        <v>10</v>
      </c>
      <c r="B32" s="186"/>
      <c r="C32" s="186"/>
      <c r="D32" s="186"/>
      <c r="E32" s="188">
        <v>0</v>
      </c>
      <c r="F32" s="188"/>
      <c r="G32" s="188">
        <v>0</v>
      </c>
      <c r="H32" s="188"/>
      <c r="I32" s="188">
        <v>0</v>
      </c>
      <c r="J32" s="188"/>
      <c r="K32" s="188">
        <v>0</v>
      </c>
      <c r="L32" s="188"/>
      <c r="M32" s="46" t="e">
        <f t="shared" si="0"/>
        <v>#DIV/0!</v>
      </c>
      <c r="N32" s="46" t="e">
        <f t="shared" si="1"/>
        <v>#DIV/0!</v>
      </c>
    </row>
    <row r="33" spans="1:14" x14ac:dyDescent="0.25">
      <c r="A33" s="187" t="s">
        <v>9</v>
      </c>
      <c r="B33" s="187"/>
      <c r="C33" s="187"/>
      <c r="D33" s="187"/>
      <c r="E33" s="189">
        <v>0</v>
      </c>
      <c r="F33" s="189"/>
      <c r="G33" s="189">
        <v>0</v>
      </c>
      <c r="H33" s="189"/>
      <c r="I33" s="189">
        <v>0</v>
      </c>
      <c r="J33" s="189"/>
      <c r="K33" s="189">
        <v>0</v>
      </c>
      <c r="L33" s="189"/>
      <c r="M33" s="47" t="e">
        <f t="shared" si="0"/>
        <v>#DIV/0!</v>
      </c>
      <c r="N33" s="47" t="e">
        <f t="shared" si="1"/>
        <v>#DIV/0!</v>
      </c>
    </row>
    <row r="34" spans="1:14" x14ac:dyDescent="0.25">
      <c r="A34" s="168" t="s">
        <v>163</v>
      </c>
      <c r="B34" s="169"/>
      <c r="C34" s="169"/>
      <c r="D34" s="170"/>
      <c r="E34" s="174">
        <f>E32-E33</f>
        <v>0</v>
      </c>
      <c r="F34" s="175"/>
      <c r="G34" s="174">
        <f t="shared" ref="G34" si="4">G32-G33</f>
        <v>0</v>
      </c>
      <c r="H34" s="175"/>
      <c r="I34" s="174">
        <f t="shared" ref="I34" si="5">I32-I33</f>
        <v>0</v>
      </c>
      <c r="J34" s="175"/>
      <c r="K34" s="174">
        <f t="shared" ref="K34" si="6">K32-K33</f>
        <v>0</v>
      </c>
      <c r="L34" s="175"/>
      <c r="M34" s="51" t="e">
        <f t="shared" si="0"/>
        <v>#DIV/0!</v>
      </c>
      <c r="N34" s="51" t="e">
        <f t="shared" si="1"/>
        <v>#DIV/0!</v>
      </c>
    </row>
    <row r="35" spans="1:14" s="74" customFormat="1" x14ac:dyDescent="0.25">
      <c r="A35" s="187" t="s">
        <v>164</v>
      </c>
      <c r="B35" s="187"/>
      <c r="C35" s="187"/>
      <c r="D35" s="187"/>
      <c r="E35" s="189">
        <v>15497.11</v>
      </c>
      <c r="F35" s="189"/>
      <c r="G35" s="189">
        <v>20000</v>
      </c>
      <c r="H35" s="189"/>
      <c r="I35" s="189">
        <v>20000</v>
      </c>
      <c r="J35" s="189"/>
      <c r="K35" s="189">
        <v>48676.31</v>
      </c>
      <c r="L35" s="189"/>
      <c r="M35" s="52">
        <f>K35/E35*100</f>
        <v>314.09927399366717</v>
      </c>
      <c r="N35" s="47">
        <f>K35/I35*100</f>
        <v>243.38154999999998</v>
      </c>
    </row>
    <row r="36" spans="1:14" s="74" customFormat="1" x14ac:dyDescent="0.25">
      <c r="A36" s="187" t="s">
        <v>165</v>
      </c>
      <c r="B36" s="187"/>
      <c r="C36" s="187"/>
      <c r="D36" s="187"/>
      <c r="E36" s="189">
        <v>24916.799999999999</v>
      </c>
      <c r="F36" s="189"/>
      <c r="G36" s="189">
        <v>0</v>
      </c>
      <c r="H36" s="189"/>
      <c r="I36" s="189">
        <v>0</v>
      </c>
      <c r="J36" s="189"/>
      <c r="K36" s="189">
        <f>K22-K25</f>
        <v>-116513.8899999999</v>
      </c>
      <c r="L36" s="189"/>
      <c r="M36" s="52">
        <f t="shared" ref="M36" si="7">K36/E36*100</f>
        <v>-467.61177197713948</v>
      </c>
      <c r="N36" s="47" t="e">
        <f>K36/I36*100</f>
        <v>#DIV/0!</v>
      </c>
    </row>
    <row r="37" spans="1:14" s="74" customFormat="1" x14ac:dyDescent="0.25">
      <c r="A37" s="168" t="s">
        <v>166</v>
      </c>
      <c r="B37" s="169"/>
      <c r="C37" s="169"/>
      <c r="D37" s="170"/>
      <c r="E37" s="174">
        <v>0</v>
      </c>
      <c r="F37" s="175"/>
      <c r="G37" s="174">
        <v>0</v>
      </c>
      <c r="H37" s="175"/>
      <c r="I37" s="174">
        <v>0</v>
      </c>
      <c r="J37" s="175"/>
      <c r="K37" s="174">
        <v>0</v>
      </c>
      <c r="L37" s="175"/>
      <c r="M37" s="51" t="e">
        <f t="shared" ref="M37:M38" si="8">K37/E37*100</f>
        <v>#DIV/0!</v>
      </c>
      <c r="N37" s="51" t="e">
        <f t="shared" ref="N37:N38" si="9">K37/I37*100</f>
        <v>#DIV/0!</v>
      </c>
    </row>
    <row r="38" spans="1:14" s="74" customFormat="1" x14ac:dyDescent="0.25">
      <c r="A38" s="168" t="s">
        <v>167</v>
      </c>
      <c r="B38" s="169"/>
      <c r="C38" s="169"/>
      <c r="D38" s="170"/>
      <c r="E38" s="174">
        <f>E26</f>
        <v>24916.800000000279</v>
      </c>
      <c r="F38" s="175"/>
      <c r="G38" s="174">
        <v>0</v>
      </c>
      <c r="H38" s="175"/>
      <c r="I38" s="174">
        <v>0</v>
      </c>
      <c r="J38" s="175"/>
      <c r="K38" s="174">
        <f>K26</f>
        <v>-116513.8899999999</v>
      </c>
      <c r="L38" s="175"/>
      <c r="M38" s="51">
        <f t="shared" si="8"/>
        <v>-467.61177197713425</v>
      </c>
      <c r="N38" s="51" t="e">
        <f t="shared" si="9"/>
        <v>#DIV/0!</v>
      </c>
    </row>
    <row r="39" spans="1:14" s="74" customFormat="1" x14ac:dyDescent="0.25">
      <c r="A39" s="80"/>
      <c r="B39" s="80"/>
      <c r="C39" s="80"/>
      <c r="D39" s="80"/>
      <c r="E39" s="81"/>
      <c r="F39" s="81"/>
      <c r="G39" s="81"/>
      <c r="H39" s="81"/>
      <c r="I39" s="81"/>
      <c r="J39" s="81"/>
      <c r="K39" s="81"/>
      <c r="L39" s="81"/>
      <c r="M39" s="82"/>
      <c r="N39" s="82"/>
    </row>
    <row r="40" spans="1:14" s="74" customFormat="1" x14ac:dyDescent="0.25">
      <c r="A40" s="80"/>
      <c r="B40" s="80"/>
      <c r="C40" s="80"/>
      <c r="D40" s="80"/>
      <c r="E40" s="81"/>
      <c r="F40" s="81"/>
      <c r="G40" s="81"/>
      <c r="H40" s="81"/>
      <c r="I40" s="81"/>
      <c r="J40" s="81"/>
      <c r="K40" s="81"/>
      <c r="L40" s="81"/>
      <c r="M40" s="82"/>
      <c r="N40" s="82"/>
    </row>
    <row r="41" spans="1:14" s="74" customFormat="1" x14ac:dyDescent="0.25">
      <c r="A41" s="80"/>
      <c r="B41" s="80"/>
      <c r="C41" s="80"/>
      <c r="D41" s="80"/>
      <c r="E41" s="81"/>
      <c r="F41" s="81"/>
      <c r="G41" s="81"/>
      <c r="H41" s="81"/>
      <c r="I41" s="81"/>
      <c r="J41" s="81"/>
      <c r="K41" s="81"/>
      <c r="L41" s="81"/>
      <c r="M41" s="82"/>
      <c r="N41" s="82"/>
    </row>
    <row r="42" spans="1:14" s="74" customFormat="1" x14ac:dyDescent="0.25">
      <c r="A42" s="80"/>
      <c r="B42" s="80"/>
      <c r="C42" s="80"/>
      <c r="D42" s="80"/>
      <c r="E42" s="81"/>
      <c r="F42" s="81"/>
      <c r="G42" s="81"/>
      <c r="H42" s="81"/>
      <c r="I42" s="81"/>
      <c r="J42" s="81"/>
      <c r="K42" s="81"/>
      <c r="L42" s="81"/>
      <c r="M42" s="82"/>
      <c r="N42" s="82"/>
    </row>
    <row r="45" spans="1:14" ht="15" customHeight="1" x14ac:dyDescent="0.25"/>
    <row r="49" ht="9.75" customHeight="1" x14ac:dyDescent="0.25"/>
  </sheetData>
  <customSheetViews>
    <customSheetView guid="{005C429F-8448-44DF-83AD-8A930973E873}" topLeftCell="A10">
      <selection activeCell="N35" sqref="N35"/>
      <pageMargins left="0.7" right="0.7" top="0.75" bottom="0.75" header="0.3" footer="0.3"/>
      <pageSetup paperSize="9" scale="92" orientation="portrait" r:id="rId1"/>
    </customSheetView>
  </customSheetViews>
  <mergeCells count="99">
    <mergeCell ref="G38:H38"/>
    <mergeCell ref="I38:J38"/>
    <mergeCell ref="K38:L38"/>
    <mergeCell ref="E37:F37"/>
    <mergeCell ref="G37:H37"/>
    <mergeCell ref="I37:J37"/>
    <mergeCell ref="K37:L37"/>
    <mergeCell ref="G35:H35"/>
    <mergeCell ref="I35:J35"/>
    <mergeCell ref="K35:L35"/>
    <mergeCell ref="E36:F36"/>
    <mergeCell ref="G36:H36"/>
    <mergeCell ref="I36:J36"/>
    <mergeCell ref="K36:L36"/>
    <mergeCell ref="A36:D36"/>
    <mergeCell ref="A35:D35"/>
    <mergeCell ref="A37:D37"/>
    <mergeCell ref="A38:D38"/>
    <mergeCell ref="E35:F35"/>
    <mergeCell ref="E38:F38"/>
    <mergeCell ref="A5:N7"/>
    <mergeCell ref="A12:N12"/>
    <mergeCell ref="A22:D22"/>
    <mergeCell ref="E22:F22"/>
    <mergeCell ref="G22:H22"/>
    <mergeCell ref="I22:J22"/>
    <mergeCell ref="K22:L22"/>
    <mergeCell ref="A16:D17"/>
    <mergeCell ref="E16:F17"/>
    <mergeCell ref="I16:J17"/>
    <mergeCell ref="K16:L17"/>
    <mergeCell ref="E18:F18"/>
    <mergeCell ref="I18:J18"/>
    <mergeCell ref="K18:L18"/>
    <mergeCell ref="K21:L21"/>
    <mergeCell ref="A21:D21"/>
    <mergeCell ref="K32:L32"/>
    <mergeCell ref="K33:L33"/>
    <mergeCell ref="K34:L34"/>
    <mergeCell ref="E33:F33"/>
    <mergeCell ref="E34:F34"/>
    <mergeCell ref="G34:H34"/>
    <mergeCell ref="A32:D32"/>
    <mergeCell ref="A33:D33"/>
    <mergeCell ref="A34:D34"/>
    <mergeCell ref="E32:F32"/>
    <mergeCell ref="I32:J32"/>
    <mergeCell ref="I33:J33"/>
    <mergeCell ref="I34:J34"/>
    <mergeCell ref="G32:H32"/>
    <mergeCell ref="G33:H33"/>
    <mergeCell ref="A23:D23"/>
    <mergeCell ref="A24:D24"/>
    <mergeCell ref="I19:J19"/>
    <mergeCell ref="I20:J20"/>
    <mergeCell ref="I21:J21"/>
    <mergeCell ref="A19:D19"/>
    <mergeCell ref="A20:D20"/>
    <mergeCell ref="E19:F19"/>
    <mergeCell ref="E20:F20"/>
    <mergeCell ref="E21:F21"/>
    <mergeCell ref="E23:F23"/>
    <mergeCell ref="E24:F24"/>
    <mergeCell ref="K19:L19"/>
    <mergeCell ref="K20:L20"/>
    <mergeCell ref="K25:L25"/>
    <mergeCell ref="K23:L23"/>
    <mergeCell ref="K24:L24"/>
    <mergeCell ref="I25:J25"/>
    <mergeCell ref="I23:J23"/>
    <mergeCell ref="I24:J24"/>
    <mergeCell ref="G20:H20"/>
    <mergeCell ref="G21:H21"/>
    <mergeCell ref="G23:H23"/>
    <mergeCell ref="G24:H24"/>
    <mergeCell ref="A25:D25"/>
    <mergeCell ref="A26:D26"/>
    <mergeCell ref="E26:F26"/>
    <mergeCell ref="G26:H26"/>
    <mergeCell ref="G29:H30"/>
    <mergeCell ref="E29:F30"/>
    <mergeCell ref="G25:H25"/>
    <mergeCell ref="E25:F25"/>
    <mergeCell ref="I29:J30"/>
    <mergeCell ref="I26:J26"/>
    <mergeCell ref="K26:L26"/>
    <mergeCell ref="A31:D31"/>
    <mergeCell ref="E31:F31"/>
    <mergeCell ref="G31:H31"/>
    <mergeCell ref="I31:J31"/>
    <mergeCell ref="K31:L31"/>
    <mergeCell ref="K29:L30"/>
    <mergeCell ref="A29:D30"/>
    <mergeCell ref="A18:D18"/>
    <mergeCell ref="A9:N10"/>
    <mergeCell ref="G16:H17"/>
    <mergeCell ref="G18:H18"/>
    <mergeCell ref="G19:H19"/>
    <mergeCell ref="A13:N13"/>
  </mergeCells>
  <pageMargins left="0.7" right="0.7" top="0.75" bottom="0.75" header="0.3" footer="0.3"/>
  <pageSetup paperSize="9" scale="64" orientation="portrait" verticalDpi="300" r:id="rId2"/>
  <ignoredErrors>
    <ignoredError sqref="M38:N38 M35:N37 N21 N23:N24 N26 M26 M23:M24 M32:N34 M21 M20:N20 M22:N22 M25:N25 M27:N3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zoomScaleNormal="100" workbookViewId="0"/>
  </sheetViews>
  <sheetFormatPr defaultRowHeight="15" x14ac:dyDescent="0.25"/>
  <cols>
    <col min="1" max="4" width="5.7109375" style="74" customWidth="1"/>
    <col min="5" max="5" width="5.28515625" customWidth="1"/>
    <col min="6" max="8" width="8.85546875" customWidth="1"/>
    <col min="9" max="9" width="13.85546875" customWidth="1"/>
    <col min="10" max="10" width="12.28515625" customWidth="1"/>
    <col min="11" max="22" width="8.85546875" customWidth="1"/>
    <col min="23" max="23" width="13.7109375" bestFit="1" customWidth="1"/>
    <col min="24" max="24" width="8.85546875" customWidth="1"/>
  </cols>
  <sheetData>
    <row r="1" spans="1:20" x14ac:dyDescent="0.25">
      <c r="A1" s="1" t="s">
        <v>14</v>
      </c>
      <c r="B1"/>
      <c r="C1"/>
      <c r="D1"/>
    </row>
    <row r="2" spans="1:20" x14ac:dyDescent="0.25">
      <c r="A2" t="s">
        <v>12</v>
      </c>
      <c r="B2"/>
      <c r="C2"/>
      <c r="D2"/>
    </row>
    <row r="3" spans="1:20" x14ac:dyDescent="0.25">
      <c r="A3" t="s">
        <v>13</v>
      </c>
      <c r="B3"/>
      <c r="C3"/>
      <c r="D3"/>
    </row>
    <row r="5" spans="1:20" x14ac:dyDescent="0.25">
      <c r="A5" s="150" t="s">
        <v>143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62"/>
    </row>
    <row r="6" spans="1:20" x14ac:dyDescent="0.25">
      <c r="A6" s="150" t="s">
        <v>144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62"/>
    </row>
    <row r="7" spans="1:20" x14ac:dyDescent="0.25">
      <c r="A7" s="150" t="s">
        <v>176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62"/>
    </row>
    <row r="8" spans="1:20" ht="15.75" thickBot="1" x14ac:dyDescent="0.3"/>
    <row r="9" spans="1:20" ht="15" customHeight="1" x14ac:dyDescent="0.25">
      <c r="A9" s="151" t="s">
        <v>18</v>
      </c>
      <c r="B9" s="200"/>
      <c r="C9" s="200"/>
      <c r="D9" s="200"/>
      <c r="E9" s="200"/>
      <c r="F9" s="200"/>
      <c r="G9" s="200"/>
      <c r="H9" s="200"/>
      <c r="I9" s="152"/>
      <c r="J9" s="151" t="s">
        <v>161</v>
      </c>
      <c r="K9" s="152"/>
      <c r="L9" s="151" t="s">
        <v>173</v>
      </c>
      <c r="M9" s="152"/>
      <c r="N9" s="151" t="s">
        <v>177</v>
      </c>
      <c r="O9" s="152"/>
      <c r="P9" s="151" t="s">
        <v>178</v>
      </c>
      <c r="Q9" s="152"/>
      <c r="R9" s="18" t="s">
        <v>39</v>
      </c>
      <c r="S9" s="18" t="s">
        <v>39</v>
      </c>
      <c r="T9" s="2"/>
    </row>
    <row r="10" spans="1:20" x14ac:dyDescent="0.25">
      <c r="A10" s="153"/>
      <c r="B10" s="201"/>
      <c r="C10" s="201"/>
      <c r="D10" s="201"/>
      <c r="E10" s="201"/>
      <c r="F10" s="201"/>
      <c r="G10" s="201"/>
      <c r="H10" s="201"/>
      <c r="I10" s="154"/>
      <c r="J10" s="153"/>
      <c r="K10" s="154"/>
      <c r="L10" s="153"/>
      <c r="M10" s="154"/>
      <c r="N10" s="153"/>
      <c r="O10" s="154"/>
      <c r="P10" s="153"/>
      <c r="Q10" s="154"/>
      <c r="R10" s="21" t="s">
        <v>123</v>
      </c>
      <c r="S10" s="19" t="s">
        <v>124</v>
      </c>
      <c r="T10" s="2"/>
    </row>
    <row r="11" spans="1:20" ht="15.75" thickBot="1" x14ac:dyDescent="0.3">
      <c r="A11" s="202">
        <v>1</v>
      </c>
      <c r="B11" s="203"/>
      <c r="C11" s="203"/>
      <c r="D11" s="203"/>
      <c r="E11" s="203"/>
      <c r="F11" s="203"/>
      <c r="G11" s="203"/>
      <c r="H11" s="203"/>
      <c r="I11" s="204"/>
      <c r="J11" s="202">
        <v>2</v>
      </c>
      <c r="K11" s="203"/>
      <c r="L11" s="202">
        <v>3</v>
      </c>
      <c r="M11" s="203"/>
      <c r="N11" s="202">
        <v>4</v>
      </c>
      <c r="O11" s="203"/>
      <c r="P11" s="202">
        <v>5</v>
      </c>
      <c r="Q11" s="203"/>
      <c r="R11" s="20">
        <v>6</v>
      </c>
      <c r="S11" s="20">
        <v>7</v>
      </c>
      <c r="T11" s="2"/>
    </row>
    <row r="12" spans="1:20" s="74" customFormat="1" x14ac:dyDescent="0.25">
      <c r="A12" s="205" t="s">
        <v>168</v>
      </c>
      <c r="B12" s="206"/>
      <c r="C12" s="206"/>
      <c r="D12" s="206"/>
      <c r="E12" s="206"/>
      <c r="F12" s="206"/>
      <c r="G12" s="206"/>
      <c r="H12" s="206"/>
      <c r="I12" s="207"/>
      <c r="J12" s="91"/>
      <c r="K12" s="92"/>
      <c r="L12" s="93"/>
      <c r="M12" s="92"/>
      <c r="N12" s="93"/>
      <c r="O12" s="92"/>
      <c r="P12" s="93"/>
      <c r="Q12" s="92"/>
      <c r="R12" s="94"/>
      <c r="S12" s="94"/>
      <c r="T12" s="2"/>
    </row>
    <row r="13" spans="1:20" x14ac:dyDescent="0.25">
      <c r="A13" s="103">
        <v>6</v>
      </c>
      <c r="B13" s="98"/>
      <c r="C13" s="98"/>
      <c r="D13" s="104"/>
      <c r="E13" s="254" t="s">
        <v>40</v>
      </c>
      <c r="F13" s="254"/>
      <c r="G13" s="254"/>
      <c r="H13" s="254"/>
      <c r="I13" s="255"/>
      <c r="J13" s="244">
        <f>J14+J24+J28+J35</f>
        <v>1084875.06</v>
      </c>
      <c r="K13" s="245"/>
      <c r="L13" s="244">
        <f>L14+L24+L28+L35</f>
        <v>2348314.75</v>
      </c>
      <c r="M13" s="245"/>
      <c r="N13" s="244">
        <f>N14+N24+N28+N35</f>
        <v>2394431.6800000002</v>
      </c>
      <c r="O13" s="245"/>
      <c r="P13" s="264">
        <f>P14+P24+P28+P35</f>
        <v>1164509.17</v>
      </c>
      <c r="Q13" s="264"/>
      <c r="R13" s="85">
        <f>(P13/J13)*100</f>
        <v>107.34039457041256</v>
      </c>
      <c r="S13" s="85">
        <f>P13/N13*100</f>
        <v>48.634052903944195</v>
      </c>
      <c r="T13" s="2"/>
    </row>
    <row r="14" spans="1:20" ht="15" customHeight="1" x14ac:dyDescent="0.25">
      <c r="A14" s="105"/>
      <c r="B14" s="99">
        <v>63</v>
      </c>
      <c r="C14" s="100"/>
      <c r="D14" s="106"/>
      <c r="E14" s="252" t="s">
        <v>19</v>
      </c>
      <c r="F14" s="252"/>
      <c r="G14" s="252"/>
      <c r="H14" s="252"/>
      <c r="I14" s="253"/>
      <c r="J14" s="240">
        <f>+J16+J22</f>
        <v>972190.4</v>
      </c>
      <c r="K14" s="241"/>
      <c r="L14" s="240">
        <f t="shared" ref="L14" si="0">+L16+L22</f>
        <v>2175450</v>
      </c>
      <c r="M14" s="241"/>
      <c r="N14" s="240">
        <f t="shared" ref="N14" si="1">+N16+N22</f>
        <v>2176730</v>
      </c>
      <c r="O14" s="241"/>
      <c r="P14" s="240">
        <f t="shared" ref="P14" si="2">+P16+P22</f>
        <v>1022860.74</v>
      </c>
      <c r="Q14" s="241"/>
      <c r="R14" s="262">
        <f>P14/J14*100</f>
        <v>105.21197699545274</v>
      </c>
      <c r="S14" s="262">
        <f>P14/N14*100</f>
        <v>46.990703486422291</v>
      </c>
      <c r="T14" s="2"/>
    </row>
    <row r="15" spans="1:20" s="74" customFormat="1" ht="15" customHeight="1" x14ac:dyDescent="0.25">
      <c r="A15" s="107"/>
      <c r="B15" s="101"/>
      <c r="C15" s="102"/>
      <c r="D15" s="108"/>
      <c r="E15" s="252"/>
      <c r="F15" s="252"/>
      <c r="G15" s="252"/>
      <c r="H15" s="252"/>
      <c r="I15" s="253"/>
      <c r="J15" s="242"/>
      <c r="K15" s="243"/>
      <c r="L15" s="242"/>
      <c r="M15" s="243"/>
      <c r="N15" s="242"/>
      <c r="O15" s="243"/>
      <c r="P15" s="242"/>
      <c r="Q15" s="243"/>
      <c r="R15" s="262"/>
      <c r="S15" s="262"/>
      <c r="T15" s="2"/>
    </row>
    <row r="16" spans="1:20" ht="15" customHeight="1" x14ac:dyDescent="0.25">
      <c r="A16" s="105"/>
      <c r="B16" s="99"/>
      <c r="C16" s="100">
        <v>636</v>
      </c>
      <c r="D16" s="113"/>
      <c r="E16" s="234" t="s">
        <v>20</v>
      </c>
      <c r="F16" s="234"/>
      <c r="G16" s="234"/>
      <c r="H16" s="234"/>
      <c r="I16" s="235"/>
      <c r="J16" s="246">
        <f t="shared" ref="J16" si="3">J18+J20</f>
        <v>966684.4</v>
      </c>
      <c r="K16" s="247"/>
      <c r="L16" s="246">
        <f t="shared" ref="L16" si="4">L18+L20</f>
        <v>2175450</v>
      </c>
      <c r="M16" s="247"/>
      <c r="N16" s="246">
        <f>N18+N20</f>
        <v>2176730</v>
      </c>
      <c r="O16" s="247"/>
      <c r="P16" s="246">
        <f t="shared" ref="P16" si="5">P18+P20</f>
        <v>1022860.74</v>
      </c>
      <c r="Q16" s="247"/>
      <c r="R16" s="263">
        <f>P16/J16*100</f>
        <v>105.8112389110655</v>
      </c>
      <c r="S16" s="263">
        <f>P16/N16*100</f>
        <v>46.990703486422291</v>
      </c>
      <c r="T16" s="2"/>
    </row>
    <row r="17" spans="1:23" x14ac:dyDescent="0.25">
      <c r="A17" s="107"/>
      <c r="B17" s="101"/>
      <c r="C17" s="102"/>
      <c r="D17" s="108"/>
      <c r="E17" s="234"/>
      <c r="F17" s="234"/>
      <c r="G17" s="234"/>
      <c r="H17" s="234"/>
      <c r="I17" s="235"/>
      <c r="J17" s="248"/>
      <c r="K17" s="249"/>
      <c r="L17" s="248"/>
      <c r="M17" s="249"/>
      <c r="N17" s="248"/>
      <c r="O17" s="249"/>
      <c r="P17" s="248"/>
      <c r="Q17" s="249"/>
      <c r="R17" s="263"/>
      <c r="S17" s="263"/>
      <c r="T17" s="2"/>
    </row>
    <row r="18" spans="1:23" x14ac:dyDescent="0.25">
      <c r="A18" s="105"/>
      <c r="B18" s="99"/>
      <c r="C18" s="100"/>
      <c r="D18" s="113">
        <v>6361</v>
      </c>
      <c r="E18" s="256" t="s">
        <v>21</v>
      </c>
      <c r="F18" s="256"/>
      <c r="G18" s="256"/>
      <c r="H18" s="256"/>
      <c r="I18" s="257"/>
      <c r="J18" s="230">
        <v>966684.4</v>
      </c>
      <c r="K18" s="231"/>
      <c r="L18" s="230">
        <f>22250+2152200</f>
        <v>2174450</v>
      </c>
      <c r="M18" s="231"/>
      <c r="N18" s="230">
        <f>2152200+20000+1250+1000+1280</f>
        <v>2175730</v>
      </c>
      <c r="O18" s="231"/>
      <c r="P18" s="230">
        <v>1022860.74</v>
      </c>
      <c r="Q18" s="231"/>
      <c r="R18" s="263">
        <f>P18/J18*100</f>
        <v>105.8112389110655</v>
      </c>
      <c r="S18" s="263">
        <f t="shared" ref="S18" si="6">P18/N18*100</f>
        <v>47.012301158691564</v>
      </c>
      <c r="T18" s="2"/>
    </row>
    <row r="19" spans="1:23" ht="15" customHeight="1" x14ac:dyDescent="0.25">
      <c r="A19" s="107"/>
      <c r="B19" s="101"/>
      <c r="C19" s="102"/>
      <c r="D19" s="108"/>
      <c r="E19" s="258"/>
      <c r="F19" s="258"/>
      <c r="G19" s="258"/>
      <c r="H19" s="258"/>
      <c r="I19" s="259"/>
      <c r="J19" s="250"/>
      <c r="K19" s="251"/>
      <c r="L19" s="250"/>
      <c r="M19" s="251"/>
      <c r="N19" s="250"/>
      <c r="O19" s="251"/>
      <c r="P19" s="250"/>
      <c r="Q19" s="251"/>
      <c r="R19" s="263"/>
      <c r="S19" s="263"/>
      <c r="T19" s="2"/>
      <c r="U19" s="25"/>
    </row>
    <row r="20" spans="1:23" x14ac:dyDescent="0.25">
      <c r="A20" s="105"/>
      <c r="B20" s="99"/>
      <c r="C20" s="100"/>
      <c r="D20" s="113">
        <v>6362</v>
      </c>
      <c r="E20" s="256" t="s">
        <v>22</v>
      </c>
      <c r="F20" s="256"/>
      <c r="G20" s="256"/>
      <c r="H20" s="256"/>
      <c r="I20" s="257"/>
      <c r="J20" s="230"/>
      <c r="K20" s="231"/>
      <c r="L20" s="230">
        <v>1000</v>
      </c>
      <c r="M20" s="231"/>
      <c r="N20" s="230">
        <v>1000</v>
      </c>
      <c r="O20" s="231"/>
      <c r="P20" s="230"/>
      <c r="Q20" s="231"/>
      <c r="R20" s="263"/>
      <c r="S20" s="263">
        <f t="shared" ref="S20" si="7">P20/N20*100</f>
        <v>0</v>
      </c>
      <c r="T20" s="2"/>
      <c r="U20" s="25"/>
    </row>
    <row r="21" spans="1:23" ht="15" customHeight="1" x14ac:dyDescent="0.25">
      <c r="A21" s="107"/>
      <c r="B21" s="101"/>
      <c r="C21" s="102"/>
      <c r="D21" s="108"/>
      <c r="E21" s="258"/>
      <c r="F21" s="258"/>
      <c r="G21" s="258"/>
      <c r="H21" s="258"/>
      <c r="I21" s="259"/>
      <c r="J21" s="250"/>
      <c r="K21" s="251"/>
      <c r="L21" s="250"/>
      <c r="M21" s="251"/>
      <c r="N21" s="250"/>
      <c r="O21" s="251"/>
      <c r="P21" s="250"/>
      <c r="Q21" s="251"/>
      <c r="R21" s="263"/>
      <c r="S21" s="263"/>
      <c r="T21" s="2"/>
    </row>
    <row r="22" spans="1:23" x14ac:dyDescent="0.25">
      <c r="A22" s="107"/>
      <c r="B22" s="101"/>
      <c r="C22" s="102">
        <v>638</v>
      </c>
      <c r="D22" s="114"/>
      <c r="E22" s="4" t="s">
        <v>33</v>
      </c>
      <c r="F22" s="4"/>
      <c r="G22" s="4"/>
      <c r="H22" s="4"/>
      <c r="I22" s="12"/>
      <c r="J22" s="228">
        <f t="shared" ref="J22" si="8">J23</f>
        <v>5506</v>
      </c>
      <c r="K22" s="229"/>
      <c r="L22" s="228">
        <f t="shared" ref="L22:N22" si="9">L23</f>
        <v>0</v>
      </c>
      <c r="M22" s="229"/>
      <c r="N22" s="228">
        <f t="shared" si="9"/>
        <v>0</v>
      </c>
      <c r="O22" s="229"/>
      <c r="P22" s="228">
        <f t="shared" ref="P22" si="10">P23</f>
        <v>0</v>
      </c>
      <c r="Q22" s="229"/>
      <c r="R22" s="86">
        <f>P22/J22*100</f>
        <v>0</v>
      </c>
      <c r="S22" s="86" t="e">
        <f>P22/N22*100</f>
        <v>#DIV/0!</v>
      </c>
      <c r="T22" s="2"/>
    </row>
    <row r="23" spans="1:23" x14ac:dyDescent="0.25">
      <c r="A23" s="107"/>
      <c r="B23" s="101"/>
      <c r="C23" s="102"/>
      <c r="D23" s="114">
        <v>6381</v>
      </c>
      <c r="E23" s="7" t="s">
        <v>33</v>
      </c>
      <c r="F23" s="7"/>
      <c r="G23" s="7"/>
      <c r="H23" s="7"/>
      <c r="I23" s="14"/>
      <c r="J23" s="238">
        <v>5506</v>
      </c>
      <c r="K23" s="239"/>
      <c r="L23" s="238"/>
      <c r="M23" s="239"/>
      <c r="N23" s="238"/>
      <c r="O23" s="239"/>
      <c r="P23" s="238"/>
      <c r="Q23" s="239"/>
      <c r="R23" s="86">
        <f>P23/J23*100</f>
        <v>0</v>
      </c>
      <c r="S23" s="86" t="e">
        <f>P23/N23*100</f>
        <v>#DIV/0!</v>
      </c>
      <c r="T23" s="2"/>
    </row>
    <row r="24" spans="1:23" x14ac:dyDescent="0.25">
      <c r="A24" s="105"/>
      <c r="B24" s="99">
        <v>65</v>
      </c>
      <c r="C24" s="100"/>
      <c r="D24" s="113"/>
      <c r="E24" s="252" t="s">
        <v>23</v>
      </c>
      <c r="F24" s="252"/>
      <c r="G24" s="252"/>
      <c r="H24" s="252"/>
      <c r="I24" s="253"/>
      <c r="J24" s="240">
        <f>J26</f>
        <v>911</v>
      </c>
      <c r="K24" s="241"/>
      <c r="L24" s="240">
        <f>L26</f>
        <v>1000</v>
      </c>
      <c r="M24" s="241"/>
      <c r="N24" s="240">
        <f>N26</f>
        <v>1000</v>
      </c>
      <c r="O24" s="241"/>
      <c r="P24" s="240">
        <f>P26</f>
        <v>715</v>
      </c>
      <c r="Q24" s="241"/>
      <c r="R24" s="262">
        <f>P24/J24*100</f>
        <v>78.485181119648743</v>
      </c>
      <c r="S24" s="262">
        <f>P24/N24*100</f>
        <v>71.5</v>
      </c>
      <c r="T24" s="2"/>
    </row>
    <row r="25" spans="1:23" x14ac:dyDescent="0.25">
      <c r="A25" s="107"/>
      <c r="B25" s="101"/>
      <c r="C25" s="102"/>
      <c r="D25" s="108"/>
      <c r="E25" s="252"/>
      <c r="F25" s="252"/>
      <c r="G25" s="252"/>
      <c r="H25" s="252"/>
      <c r="I25" s="253"/>
      <c r="J25" s="242"/>
      <c r="K25" s="243"/>
      <c r="L25" s="242"/>
      <c r="M25" s="243"/>
      <c r="N25" s="242"/>
      <c r="O25" s="243"/>
      <c r="P25" s="242"/>
      <c r="Q25" s="243"/>
      <c r="R25" s="262"/>
      <c r="S25" s="262"/>
      <c r="T25" s="2"/>
      <c r="W25" s="74"/>
    </row>
    <row r="26" spans="1:23" x14ac:dyDescent="0.25">
      <c r="A26" s="107"/>
      <c r="B26" s="101"/>
      <c r="C26" s="102">
        <v>652</v>
      </c>
      <c r="D26" s="114"/>
      <c r="E26" s="4" t="s">
        <v>24</v>
      </c>
      <c r="F26" s="4"/>
      <c r="G26" s="4"/>
      <c r="H26" s="4"/>
      <c r="I26" s="12"/>
      <c r="J26" s="228">
        <f>J27</f>
        <v>911</v>
      </c>
      <c r="K26" s="229"/>
      <c r="L26" s="228">
        <f t="shared" ref="L26" si="11">L27</f>
        <v>1000</v>
      </c>
      <c r="M26" s="229"/>
      <c r="N26" s="228">
        <f t="shared" ref="N26" si="12">N27</f>
        <v>1000</v>
      </c>
      <c r="O26" s="229"/>
      <c r="P26" s="228">
        <f t="shared" ref="P26" si="13">P27</f>
        <v>715</v>
      </c>
      <c r="Q26" s="229"/>
      <c r="R26" s="86">
        <f>P26/J26*100</f>
        <v>78.485181119648743</v>
      </c>
      <c r="S26" s="86">
        <f>P26/N26*100</f>
        <v>71.5</v>
      </c>
      <c r="T26" s="2"/>
      <c r="W26" s="74"/>
    </row>
    <row r="27" spans="1:23" x14ac:dyDescent="0.25">
      <c r="A27" s="109"/>
      <c r="B27" s="110"/>
      <c r="C27" s="111"/>
      <c r="D27" s="112">
        <v>6526</v>
      </c>
      <c r="E27" s="7" t="s">
        <v>25</v>
      </c>
      <c r="F27" s="7"/>
      <c r="G27" s="7"/>
      <c r="H27" s="7"/>
      <c r="I27" s="14"/>
      <c r="J27" s="238">
        <v>911</v>
      </c>
      <c r="K27" s="239"/>
      <c r="L27" s="238">
        <v>1000</v>
      </c>
      <c r="M27" s="239"/>
      <c r="N27" s="238">
        <v>1000</v>
      </c>
      <c r="O27" s="239"/>
      <c r="P27" s="238">
        <v>715</v>
      </c>
      <c r="Q27" s="239"/>
      <c r="R27" s="86">
        <f>P27/J27*100</f>
        <v>78.485181119648743</v>
      </c>
      <c r="S27" s="86">
        <f>P27/N27*100</f>
        <v>71.5</v>
      </c>
      <c r="T27" s="2"/>
      <c r="V27" s="25"/>
      <c r="W27" s="74"/>
    </row>
    <row r="28" spans="1:23" x14ac:dyDescent="0.25">
      <c r="A28" s="105"/>
      <c r="B28" s="99">
        <v>66</v>
      </c>
      <c r="C28" s="100"/>
      <c r="D28" s="113"/>
      <c r="E28" s="252" t="s">
        <v>34</v>
      </c>
      <c r="F28" s="252"/>
      <c r="G28" s="252"/>
      <c r="H28" s="252"/>
      <c r="I28" s="253"/>
      <c r="J28" s="240">
        <f t="shared" ref="J28" si="14">J30+J32</f>
        <v>8914.4</v>
      </c>
      <c r="K28" s="241"/>
      <c r="L28" s="240">
        <f t="shared" ref="L28:N28" si="15">L30+L32</f>
        <v>11000</v>
      </c>
      <c r="M28" s="241"/>
      <c r="N28" s="240">
        <f t="shared" si="15"/>
        <v>11000</v>
      </c>
      <c r="O28" s="241"/>
      <c r="P28" s="240">
        <f t="shared" ref="P28" si="16">P30+P32</f>
        <v>10371.32</v>
      </c>
      <c r="Q28" s="241"/>
      <c r="R28" s="262">
        <f>P28/J28*100</f>
        <v>116.34344431481647</v>
      </c>
      <c r="S28" s="262">
        <f>P28/N28*100</f>
        <v>94.284727272727281</v>
      </c>
      <c r="T28" s="2"/>
      <c r="W28" s="74"/>
    </row>
    <row r="29" spans="1:23" x14ac:dyDescent="0.25">
      <c r="A29" s="107"/>
      <c r="B29" s="101"/>
      <c r="C29" s="102"/>
      <c r="D29" s="108"/>
      <c r="E29" s="252"/>
      <c r="F29" s="252"/>
      <c r="G29" s="252"/>
      <c r="H29" s="252"/>
      <c r="I29" s="253"/>
      <c r="J29" s="242"/>
      <c r="K29" s="243"/>
      <c r="L29" s="242"/>
      <c r="M29" s="243"/>
      <c r="N29" s="242"/>
      <c r="O29" s="243"/>
      <c r="P29" s="242"/>
      <c r="Q29" s="243"/>
      <c r="R29" s="262"/>
      <c r="S29" s="262"/>
      <c r="T29" s="2"/>
      <c r="V29" s="25"/>
      <c r="W29" s="74"/>
    </row>
    <row r="30" spans="1:23" x14ac:dyDescent="0.25">
      <c r="A30" s="107"/>
      <c r="B30" s="101"/>
      <c r="C30" s="102">
        <v>661</v>
      </c>
      <c r="D30" s="114"/>
      <c r="E30" s="4" t="s">
        <v>26</v>
      </c>
      <c r="F30" s="4"/>
      <c r="G30" s="4"/>
      <c r="H30" s="4"/>
      <c r="I30" s="12"/>
      <c r="J30" s="228">
        <f t="shared" ref="J30" si="17">J31</f>
        <v>2392.4</v>
      </c>
      <c r="K30" s="229"/>
      <c r="L30" s="228">
        <f t="shared" ref="L30:N30" si="18">L31</f>
        <v>7000</v>
      </c>
      <c r="M30" s="229"/>
      <c r="N30" s="228">
        <f t="shared" si="18"/>
        <v>7000</v>
      </c>
      <c r="O30" s="229"/>
      <c r="P30" s="228">
        <f t="shared" ref="P30" si="19">P31</f>
        <v>10371.32</v>
      </c>
      <c r="Q30" s="229"/>
      <c r="R30" s="86">
        <f>P30/J30*100</f>
        <v>433.51111854204981</v>
      </c>
      <c r="S30" s="86">
        <f>P30/N30*100</f>
        <v>148.16171428571428</v>
      </c>
      <c r="T30" s="2"/>
      <c r="W30" s="74"/>
    </row>
    <row r="31" spans="1:23" x14ac:dyDescent="0.25">
      <c r="A31" s="109"/>
      <c r="B31" s="110"/>
      <c r="C31" s="111"/>
      <c r="D31" s="112">
        <v>6615</v>
      </c>
      <c r="E31" s="7" t="s">
        <v>27</v>
      </c>
      <c r="F31" s="7"/>
      <c r="G31" s="7"/>
      <c r="H31" s="7"/>
      <c r="I31" s="14"/>
      <c r="J31" s="238">
        <v>2392.4</v>
      </c>
      <c r="K31" s="239"/>
      <c r="L31" s="238">
        <v>7000</v>
      </c>
      <c r="M31" s="239"/>
      <c r="N31" s="238">
        <v>7000</v>
      </c>
      <c r="O31" s="239"/>
      <c r="P31" s="238">
        <v>10371.32</v>
      </c>
      <c r="Q31" s="239"/>
      <c r="R31" s="86">
        <f>P31/J31*100</f>
        <v>433.51111854204981</v>
      </c>
      <c r="S31" s="86">
        <f>P31/N31*100</f>
        <v>148.16171428571428</v>
      </c>
      <c r="T31" s="2"/>
      <c r="V31" s="25"/>
      <c r="W31" s="74"/>
    </row>
    <row r="32" spans="1:23" x14ac:dyDescent="0.25">
      <c r="A32" s="105"/>
      <c r="B32" s="99"/>
      <c r="C32" s="100">
        <v>663</v>
      </c>
      <c r="D32" s="113"/>
      <c r="E32" s="234" t="s">
        <v>35</v>
      </c>
      <c r="F32" s="234"/>
      <c r="G32" s="234"/>
      <c r="H32" s="234"/>
      <c r="I32" s="235"/>
      <c r="J32" s="246">
        <f t="shared" ref="J32" si="20">J34</f>
        <v>6522</v>
      </c>
      <c r="K32" s="247"/>
      <c r="L32" s="240">
        <f t="shared" ref="L32:N32" si="21">L34</f>
        <v>4000</v>
      </c>
      <c r="M32" s="241"/>
      <c r="N32" s="240">
        <f t="shared" si="21"/>
        <v>4000</v>
      </c>
      <c r="O32" s="241"/>
      <c r="P32" s="246">
        <f t="shared" ref="P32" si="22">P34</f>
        <v>0</v>
      </c>
      <c r="Q32" s="247"/>
      <c r="R32" s="263">
        <f>P32/J32*100</f>
        <v>0</v>
      </c>
      <c r="S32" s="263">
        <f>P32/N32*100</f>
        <v>0</v>
      </c>
      <c r="T32" s="2"/>
    </row>
    <row r="33" spans="1:22" x14ac:dyDescent="0.25">
      <c r="A33" s="107"/>
      <c r="B33" s="101"/>
      <c r="C33" s="102"/>
      <c r="D33" s="108"/>
      <c r="E33" s="234"/>
      <c r="F33" s="234"/>
      <c r="G33" s="234"/>
      <c r="H33" s="234"/>
      <c r="I33" s="235"/>
      <c r="J33" s="248"/>
      <c r="K33" s="249"/>
      <c r="L33" s="242"/>
      <c r="M33" s="243"/>
      <c r="N33" s="242"/>
      <c r="O33" s="243"/>
      <c r="P33" s="248"/>
      <c r="Q33" s="249"/>
      <c r="R33" s="263"/>
      <c r="S33" s="263"/>
      <c r="T33" s="2"/>
    </row>
    <row r="34" spans="1:22" x14ac:dyDescent="0.25">
      <c r="A34" s="107"/>
      <c r="B34" s="101"/>
      <c r="C34" s="102"/>
      <c r="D34" s="114">
        <v>6631</v>
      </c>
      <c r="E34" s="7" t="s">
        <v>28</v>
      </c>
      <c r="F34" s="7"/>
      <c r="G34" s="7"/>
      <c r="H34" s="7"/>
      <c r="I34" s="14"/>
      <c r="J34" s="238">
        <v>6522</v>
      </c>
      <c r="K34" s="239"/>
      <c r="L34" s="238">
        <v>4000</v>
      </c>
      <c r="M34" s="239"/>
      <c r="N34" s="238">
        <v>4000</v>
      </c>
      <c r="O34" s="239"/>
      <c r="P34" s="238"/>
      <c r="Q34" s="239"/>
      <c r="R34" s="86">
        <f>P34/J34*100</f>
        <v>0</v>
      </c>
      <c r="S34" s="86">
        <f>P34/N34*100</f>
        <v>0</v>
      </c>
      <c r="T34" s="2"/>
    </row>
    <row r="35" spans="1:22" x14ac:dyDescent="0.25">
      <c r="A35" s="105"/>
      <c r="B35" s="99">
        <v>67</v>
      </c>
      <c r="C35" s="100"/>
      <c r="D35" s="113"/>
      <c r="E35" s="252" t="s">
        <v>29</v>
      </c>
      <c r="F35" s="252"/>
      <c r="G35" s="252"/>
      <c r="H35" s="252"/>
      <c r="I35" s="253"/>
      <c r="J35" s="240">
        <f t="shared" ref="J35" si="23">J37</f>
        <v>102859.26</v>
      </c>
      <c r="K35" s="241"/>
      <c r="L35" s="240">
        <f t="shared" ref="L35:N35" si="24">L37</f>
        <v>160864.75</v>
      </c>
      <c r="M35" s="241"/>
      <c r="N35" s="240">
        <f t="shared" si="24"/>
        <v>205701.68</v>
      </c>
      <c r="O35" s="241"/>
      <c r="P35" s="240">
        <f t="shared" ref="P35" si="25">P37</f>
        <v>130562.11</v>
      </c>
      <c r="Q35" s="241"/>
      <c r="R35" s="262">
        <f>P35/J35*100</f>
        <v>126.93277202266475</v>
      </c>
      <c r="S35" s="262">
        <f>P35/N35*100</f>
        <v>63.471581758593324</v>
      </c>
      <c r="T35" s="2"/>
      <c r="V35" s="25"/>
    </row>
    <row r="36" spans="1:22" x14ac:dyDescent="0.25">
      <c r="A36" s="107"/>
      <c r="B36" s="101"/>
      <c r="C36" s="102"/>
      <c r="D36" s="114"/>
      <c r="E36" s="252"/>
      <c r="F36" s="252"/>
      <c r="G36" s="252"/>
      <c r="H36" s="252"/>
      <c r="I36" s="253"/>
      <c r="J36" s="242"/>
      <c r="K36" s="243"/>
      <c r="L36" s="242"/>
      <c r="M36" s="243"/>
      <c r="N36" s="242"/>
      <c r="O36" s="243"/>
      <c r="P36" s="242"/>
      <c r="Q36" s="243"/>
      <c r="R36" s="262"/>
      <c r="S36" s="262"/>
      <c r="T36" s="2"/>
    </row>
    <row r="37" spans="1:22" x14ac:dyDescent="0.25">
      <c r="A37" s="105"/>
      <c r="B37" s="99"/>
      <c r="C37" s="100">
        <v>671</v>
      </c>
      <c r="D37" s="113"/>
      <c r="E37" s="234" t="s">
        <v>30</v>
      </c>
      <c r="F37" s="234"/>
      <c r="G37" s="234"/>
      <c r="H37" s="234"/>
      <c r="I37" s="235"/>
      <c r="J37" s="246">
        <f>J39</f>
        <v>102859.26</v>
      </c>
      <c r="K37" s="247"/>
      <c r="L37" s="246">
        <f t="shared" ref="L37" si="26">L39</f>
        <v>160864.75</v>
      </c>
      <c r="M37" s="247"/>
      <c r="N37" s="246">
        <f t="shared" ref="N37" si="27">N39</f>
        <v>205701.68</v>
      </c>
      <c r="O37" s="247"/>
      <c r="P37" s="246">
        <f t="shared" ref="P37" si="28">P39</f>
        <v>130562.11</v>
      </c>
      <c r="Q37" s="247"/>
      <c r="R37" s="263">
        <f t="shared" ref="R37" si="29">P37/J37*100</f>
        <v>126.93277202266475</v>
      </c>
      <c r="S37" s="263">
        <f t="shared" ref="S37" si="30">P37/N37*100</f>
        <v>63.471581758593324</v>
      </c>
      <c r="T37" s="2"/>
      <c r="V37" s="25"/>
    </row>
    <row r="38" spans="1:22" ht="15" customHeight="1" x14ac:dyDescent="0.25">
      <c r="A38" s="107"/>
      <c r="B38" s="101"/>
      <c r="C38" s="102"/>
      <c r="D38" s="114"/>
      <c r="E38" s="234"/>
      <c r="F38" s="234"/>
      <c r="G38" s="234"/>
      <c r="H38" s="234"/>
      <c r="I38" s="235"/>
      <c r="J38" s="248"/>
      <c r="K38" s="249"/>
      <c r="L38" s="248"/>
      <c r="M38" s="249"/>
      <c r="N38" s="248"/>
      <c r="O38" s="249"/>
      <c r="P38" s="248"/>
      <c r="Q38" s="249"/>
      <c r="R38" s="263"/>
      <c r="S38" s="263"/>
      <c r="T38" s="2"/>
    </row>
    <row r="39" spans="1:22" x14ac:dyDescent="0.25">
      <c r="A39" s="105"/>
      <c r="B39" s="99"/>
      <c r="C39" s="100"/>
      <c r="D39" s="113">
        <v>6711</v>
      </c>
      <c r="E39" s="236" t="s">
        <v>31</v>
      </c>
      <c r="F39" s="236"/>
      <c r="G39" s="236"/>
      <c r="H39" s="236"/>
      <c r="I39" s="237"/>
      <c r="J39" s="230">
        <v>102859.26</v>
      </c>
      <c r="K39" s="231"/>
      <c r="L39" s="230">
        <v>160864.75</v>
      </c>
      <c r="M39" s="231"/>
      <c r="N39" s="230">
        <f>160864.75+14953+29153.91+730.02</f>
        <v>205701.68</v>
      </c>
      <c r="O39" s="231"/>
      <c r="P39" s="230">
        <v>130562.11</v>
      </c>
      <c r="Q39" s="231"/>
      <c r="R39" s="263">
        <f t="shared" ref="R39" si="31">P39/J39*100</f>
        <v>126.93277202266475</v>
      </c>
      <c r="S39" s="263">
        <f t="shared" ref="S39" si="32">P39/N39*100</f>
        <v>63.471581758593324</v>
      </c>
      <c r="T39" s="2"/>
      <c r="V39" s="25"/>
    </row>
    <row r="40" spans="1:22" x14ac:dyDescent="0.25">
      <c r="A40" s="107"/>
      <c r="B40" s="101"/>
      <c r="C40" s="102"/>
      <c r="D40" s="114"/>
      <c r="E40" s="236"/>
      <c r="F40" s="236"/>
      <c r="G40" s="236"/>
      <c r="H40" s="236"/>
      <c r="I40" s="237"/>
      <c r="J40" s="250"/>
      <c r="K40" s="251"/>
      <c r="L40" s="250"/>
      <c r="M40" s="251"/>
      <c r="N40" s="250"/>
      <c r="O40" s="251"/>
      <c r="P40" s="250"/>
      <c r="Q40" s="251"/>
      <c r="R40" s="263"/>
      <c r="S40" s="263"/>
      <c r="T40" s="2"/>
    </row>
    <row r="41" spans="1:22" x14ac:dyDescent="0.25">
      <c r="A41" s="121">
        <v>9</v>
      </c>
      <c r="B41" s="116"/>
      <c r="C41" s="116"/>
      <c r="D41" s="117"/>
      <c r="E41" s="6" t="s">
        <v>32</v>
      </c>
      <c r="F41" s="6"/>
      <c r="G41" s="6"/>
      <c r="H41" s="6"/>
      <c r="I41" s="15"/>
      <c r="J41" s="224">
        <f t="shared" ref="J41" si="33">J42</f>
        <v>15497.11</v>
      </c>
      <c r="K41" s="225"/>
      <c r="L41" s="224">
        <f>L42</f>
        <v>20000</v>
      </c>
      <c r="M41" s="225"/>
      <c r="N41" s="224">
        <f t="shared" ref="N41" si="34">N42</f>
        <v>20000</v>
      </c>
      <c r="O41" s="225"/>
      <c r="P41" s="224">
        <f t="shared" ref="P41" si="35">P42</f>
        <v>48676.31</v>
      </c>
      <c r="Q41" s="225"/>
      <c r="R41" s="87">
        <f>P41/J41*100</f>
        <v>314.09927399366717</v>
      </c>
      <c r="S41" s="87">
        <f>P41/N41*100</f>
        <v>243.38154999999998</v>
      </c>
      <c r="T41" s="2"/>
    </row>
    <row r="42" spans="1:22" x14ac:dyDescent="0.25">
      <c r="A42" s="107"/>
      <c r="B42" s="101">
        <v>92</v>
      </c>
      <c r="C42" s="102"/>
      <c r="D42" s="114"/>
      <c r="E42" s="5" t="s">
        <v>36</v>
      </c>
      <c r="F42" s="5"/>
      <c r="G42" s="5"/>
      <c r="H42" s="5"/>
      <c r="I42" s="17"/>
      <c r="J42" s="226">
        <f>J43</f>
        <v>15497.11</v>
      </c>
      <c r="K42" s="227"/>
      <c r="L42" s="226">
        <f>L43</f>
        <v>20000</v>
      </c>
      <c r="M42" s="227"/>
      <c r="N42" s="226">
        <f>N43</f>
        <v>20000</v>
      </c>
      <c r="O42" s="227"/>
      <c r="P42" s="226">
        <f>P43</f>
        <v>48676.31</v>
      </c>
      <c r="Q42" s="227"/>
      <c r="R42" s="88">
        <f>P42/J42*100</f>
        <v>314.09927399366717</v>
      </c>
      <c r="S42" s="88">
        <f>P42/N42*100</f>
        <v>243.38154999999998</v>
      </c>
      <c r="T42" s="2"/>
    </row>
    <row r="43" spans="1:22" x14ac:dyDescent="0.25">
      <c r="A43" s="107"/>
      <c r="B43" s="101"/>
      <c r="C43" s="102">
        <v>922</v>
      </c>
      <c r="D43" s="114"/>
      <c r="E43" s="4" t="s">
        <v>38</v>
      </c>
      <c r="F43" s="4"/>
      <c r="G43" s="4"/>
      <c r="H43" s="4"/>
      <c r="I43" s="12"/>
      <c r="J43" s="228">
        <f>J44</f>
        <v>15497.11</v>
      </c>
      <c r="K43" s="229"/>
      <c r="L43" s="228">
        <f>L44</f>
        <v>20000</v>
      </c>
      <c r="M43" s="229"/>
      <c r="N43" s="228">
        <f>N44</f>
        <v>20000</v>
      </c>
      <c r="O43" s="229"/>
      <c r="P43" s="228">
        <f>P44</f>
        <v>48676.31</v>
      </c>
      <c r="Q43" s="229"/>
      <c r="R43" s="86">
        <f t="shared" ref="R43:R44" si="36">P43/J43*100</f>
        <v>314.09927399366717</v>
      </c>
      <c r="S43" s="86">
        <f t="shared" ref="S43:S44" si="37">P43/N43*100</f>
        <v>243.38154999999998</v>
      </c>
      <c r="T43" s="2"/>
    </row>
    <row r="44" spans="1:22" ht="15.75" thickBot="1" x14ac:dyDescent="0.3">
      <c r="A44" s="123"/>
      <c r="B44" s="110"/>
      <c r="C44" s="111"/>
      <c r="D44" s="112">
        <v>9221</v>
      </c>
      <c r="E44" s="8" t="s">
        <v>37</v>
      </c>
      <c r="F44" s="8"/>
      <c r="G44" s="8"/>
      <c r="H44" s="8"/>
      <c r="I44" s="24"/>
      <c r="J44" s="260">
        <v>15497.11</v>
      </c>
      <c r="K44" s="261"/>
      <c r="L44" s="230">
        <v>20000</v>
      </c>
      <c r="M44" s="231"/>
      <c r="N44" s="230">
        <v>20000</v>
      </c>
      <c r="O44" s="231"/>
      <c r="P44" s="260">
        <v>48676.31</v>
      </c>
      <c r="Q44" s="261"/>
      <c r="R44" s="89">
        <f t="shared" si="36"/>
        <v>314.09927399366717</v>
      </c>
      <c r="S44" s="89">
        <f t="shared" si="37"/>
        <v>243.38154999999998</v>
      </c>
      <c r="T44" s="2"/>
    </row>
    <row r="45" spans="1:22" ht="15.75" thickBot="1" x14ac:dyDescent="0.3">
      <c r="A45" s="208" t="s">
        <v>133</v>
      </c>
      <c r="B45" s="209"/>
      <c r="C45" s="209"/>
      <c r="D45" s="209"/>
      <c r="E45" s="209"/>
      <c r="F45" s="209"/>
      <c r="G45" s="209"/>
      <c r="H45" s="209"/>
      <c r="I45" s="210"/>
      <c r="J45" s="215">
        <f>J41+J13</f>
        <v>1100372.1700000002</v>
      </c>
      <c r="K45" s="215"/>
      <c r="L45" s="215">
        <f>L41+L13</f>
        <v>2368314.75</v>
      </c>
      <c r="M45" s="215"/>
      <c r="N45" s="215">
        <f>N41+N13</f>
        <v>2414431.6800000002</v>
      </c>
      <c r="O45" s="215"/>
      <c r="P45" s="215">
        <f>P41+P13</f>
        <v>1213185.48</v>
      </c>
      <c r="Q45" s="215"/>
      <c r="R45" s="90">
        <f>P45/J45*100</f>
        <v>110.25228673313319</v>
      </c>
      <c r="S45" s="90">
        <f>P45/N45*100</f>
        <v>50.247248246842076</v>
      </c>
      <c r="T45" s="2"/>
    </row>
    <row r="46" spans="1:22" ht="15.75" thickBot="1" x14ac:dyDescent="0.3">
      <c r="A46" s="75"/>
      <c r="B46" s="75"/>
      <c r="K46" s="25"/>
      <c r="L46" s="25"/>
      <c r="M46" s="25"/>
      <c r="N46" s="25"/>
      <c r="O46" s="25"/>
      <c r="P46" s="25"/>
      <c r="Q46" s="25"/>
      <c r="R46" s="25"/>
      <c r="S46" s="35"/>
      <c r="T46" s="25"/>
    </row>
    <row r="47" spans="1:22" x14ac:dyDescent="0.25">
      <c r="A47" s="118">
        <v>3</v>
      </c>
      <c r="B47" s="115"/>
      <c r="C47" s="115"/>
      <c r="D47" s="119"/>
      <c r="E47" s="265" t="s">
        <v>41</v>
      </c>
      <c r="F47" s="265"/>
      <c r="G47" s="265"/>
      <c r="H47" s="265"/>
      <c r="I47" s="266"/>
      <c r="J47" s="232">
        <f>J48+J55+J86</f>
        <v>1073962.24</v>
      </c>
      <c r="K47" s="233"/>
      <c r="L47" s="232">
        <f>L48+L55+L86</f>
        <v>2350314.75</v>
      </c>
      <c r="M47" s="233"/>
      <c r="N47" s="232">
        <f>N48+N55+N86</f>
        <v>2396431.6799999997</v>
      </c>
      <c r="O47" s="233"/>
      <c r="P47" s="232">
        <f t="shared" ref="P47" si="38">P48+P55+P86</f>
        <v>1327430.8999999999</v>
      </c>
      <c r="Q47" s="233"/>
      <c r="R47" s="95">
        <f>(P47/J47)*100</f>
        <v>123.60126367198905</v>
      </c>
      <c r="S47" s="95">
        <f>P47/N47*100</f>
        <v>55.391977625667174</v>
      </c>
    </row>
    <row r="48" spans="1:22" x14ac:dyDescent="0.25">
      <c r="A48" s="107"/>
      <c r="B48" s="101">
        <v>31</v>
      </c>
      <c r="C48" s="102"/>
      <c r="D48" s="120"/>
      <c r="E48" s="5" t="s">
        <v>43</v>
      </c>
      <c r="F48" s="5"/>
      <c r="G48" s="5"/>
      <c r="H48" s="5"/>
      <c r="I48" s="17"/>
      <c r="J48" s="218">
        <f t="shared" ref="J48" si="39">J49+J51+J53</f>
        <v>971839.3899999999</v>
      </c>
      <c r="K48" s="219"/>
      <c r="L48" s="218">
        <f t="shared" ref="L48" si="40">L49+L51+L53</f>
        <v>2150000</v>
      </c>
      <c r="M48" s="219"/>
      <c r="N48" s="218">
        <f>N49+N51+N53</f>
        <v>2177936.5699999998</v>
      </c>
      <c r="O48" s="219"/>
      <c r="P48" s="218">
        <f t="shared" ref="P48" si="41">P49+P51+P53</f>
        <v>1192503.42</v>
      </c>
      <c r="Q48" s="219"/>
      <c r="R48" s="96">
        <f>P48/J48*100</f>
        <v>122.70581253143074</v>
      </c>
      <c r="S48" s="96">
        <f>P48/N48*100</f>
        <v>54.753817738594655</v>
      </c>
      <c r="T48" s="2"/>
    </row>
    <row r="49" spans="1:20" ht="15" customHeight="1" x14ac:dyDescent="0.25">
      <c r="A49" s="107"/>
      <c r="B49" s="101"/>
      <c r="C49" s="102">
        <v>311</v>
      </c>
      <c r="D49" s="120"/>
      <c r="E49" s="4" t="s">
        <v>44</v>
      </c>
      <c r="F49" s="4"/>
      <c r="G49" s="4"/>
      <c r="H49" s="4"/>
      <c r="I49" s="12"/>
      <c r="J49" s="213">
        <f t="shared" ref="J49" si="42">J50</f>
        <v>804755.12</v>
      </c>
      <c r="K49" s="214"/>
      <c r="L49" s="213">
        <f t="shared" ref="L49:N49" si="43">L50</f>
        <v>1800000</v>
      </c>
      <c r="M49" s="214"/>
      <c r="N49" s="213">
        <f t="shared" si="43"/>
        <v>1822602.2</v>
      </c>
      <c r="O49" s="214"/>
      <c r="P49" s="213">
        <f t="shared" ref="P49" si="44">P50</f>
        <v>995827.35</v>
      </c>
      <c r="Q49" s="214"/>
      <c r="R49" s="97">
        <f>P49/J49*100</f>
        <v>123.74290330703333</v>
      </c>
      <c r="S49" s="97">
        <f t="shared" ref="S49:S54" si="45">P49/N49*100</f>
        <v>54.637668603713962</v>
      </c>
      <c r="T49" s="2"/>
    </row>
    <row r="50" spans="1:20" x14ac:dyDescent="0.25">
      <c r="A50" s="107"/>
      <c r="B50" s="101"/>
      <c r="C50" s="102"/>
      <c r="D50" s="120">
        <v>3111</v>
      </c>
      <c r="E50" s="7" t="s">
        <v>45</v>
      </c>
      <c r="F50" s="7"/>
      <c r="G50" s="4"/>
      <c r="H50" s="4"/>
      <c r="I50" s="12"/>
      <c r="J50" s="211">
        <v>804755.12</v>
      </c>
      <c r="K50" s="212"/>
      <c r="L50" s="211">
        <v>1800000</v>
      </c>
      <c r="M50" s="212"/>
      <c r="N50" s="211">
        <f>5214+3685.5+13702.7+1800000</f>
        <v>1822602.2</v>
      </c>
      <c r="O50" s="212"/>
      <c r="P50" s="211">
        <v>995827.35</v>
      </c>
      <c r="Q50" s="212"/>
      <c r="R50" s="97">
        <f t="shared" ref="R50:R78" si="46">P50/J50*100</f>
        <v>123.74290330703333</v>
      </c>
      <c r="S50" s="97">
        <f t="shared" si="45"/>
        <v>54.637668603713962</v>
      </c>
      <c r="T50" s="2"/>
    </row>
    <row r="51" spans="1:20" x14ac:dyDescent="0.25">
      <c r="A51" s="107"/>
      <c r="B51" s="101"/>
      <c r="C51" s="102">
        <v>312</v>
      </c>
      <c r="D51" s="120"/>
      <c r="E51" s="4" t="s">
        <v>46</v>
      </c>
      <c r="F51" s="4"/>
      <c r="G51" s="4"/>
      <c r="H51" s="4"/>
      <c r="I51" s="12"/>
      <c r="J51" s="213">
        <f t="shared" ref="J51" si="47">J52</f>
        <v>34299.58</v>
      </c>
      <c r="K51" s="214"/>
      <c r="L51" s="213">
        <f t="shared" ref="L51:N51" si="48">L52</f>
        <v>70000</v>
      </c>
      <c r="M51" s="214"/>
      <c r="N51" s="213">
        <f t="shared" si="48"/>
        <v>72000</v>
      </c>
      <c r="O51" s="214"/>
      <c r="P51" s="213">
        <f t="shared" ref="P51" si="49">P52</f>
        <v>32364.45</v>
      </c>
      <c r="Q51" s="214"/>
      <c r="R51" s="97">
        <f t="shared" si="46"/>
        <v>94.358152490496963</v>
      </c>
      <c r="S51" s="97">
        <f t="shared" si="45"/>
        <v>44.950625000000002</v>
      </c>
      <c r="T51" s="2"/>
    </row>
    <row r="52" spans="1:20" x14ac:dyDescent="0.25">
      <c r="A52" s="107"/>
      <c r="B52" s="101"/>
      <c r="C52" s="102"/>
      <c r="D52" s="120">
        <v>3121</v>
      </c>
      <c r="E52" s="7" t="s">
        <v>46</v>
      </c>
      <c r="F52" s="7"/>
      <c r="G52" s="7"/>
      <c r="H52" s="4"/>
      <c r="I52" s="12"/>
      <c r="J52" s="211">
        <v>34299.58</v>
      </c>
      <c r="K52" s="212"/>
      <c r="L52" s="211">
        <v>70000</v>
      </c>
      <c r="M52" s="212"/>
      <c r="N52" s="211">
        <f>70000+2000</f>
        <v>72000</v>
      </c>
      <c r="O52" s="212"/>
      <c r="P52" s="211">
        <v>32364.45</v>
      </c>
      <c r="Q52" s="212"/>
      <c r="R52" s="97">
        <f t="shared" si="46"/>
        <v>94.358152490496963</v>
      </c>
      <c r="S52" s="97">
        <f t="shared" si="45"/>
        <v>44.950625000000002</v>
      </c>
      <c r="T52" s="2"/>
    </row>
    <row r="53" spans="1:20" x14ac:dyDescent="0.25">
      <c r="A53" s="107"/>
      <c r="B53" s="101"/>
      <c r="C53" s="102">
        <v>313</v>
      </c>
      <c r="D53" s="120"/>
      <c r="E53" s="4" t="s">
        <v>47</v>
      </c>
      <c r="F53" s="4"/>
      <c r="G53" s="4"/>
      <c r="H53" s="4"/>
      <c r="I53" s="12"/>
      <c r="J53" s="213">
        <f>J54</f>
        <v>132784.69</v>
      </c>
      <c r="K53" s="214"/>
      <c r="L53" s="213">
        <f t="shared" ref="L53" si="50">L54</f>
        <v>280000</v>
      </c>
      <c r="M53" s="214"/>
      <c r="N53" s="213">
        <f t="shared" ref="N53" si="51">N54</f>
        <v>283334.37</v>
      </c>
      <c r="O53" s="214"/>
      <c r="P53" s="213">
        <f t="shared" ref="P53" si="52">P54</f>
        <v>164311.62</v>
      </c>
      <c r="Q53" s="214"/>
      <c r="R53" s="97">
        <f t="shared" si="46"/>
        <v>123.74289535939722</v>
      </c>
      <c r="S53" s="97">
        <f t="shared" si="45"/>
        <v>57.992124287639371</v>
      </c>
      <c r="T53" s="2"/>
    </row>
    <row r="54" spans="1:20" x14ac:dyDescent="0.25">
      <c r="A54" s="107"/>
      <c r="B54" s="101"/>
      <c r="C54" s="102"/>
      <c r="D54" s="120">
        <v>3132</v>
      </c>
      <c r="E54" s="7" t="s">
        <v>48</v>
      </c>
      <c r="F54" s="7"/>
      <c r="G54" s="7"/>
      <c r="H54" s="7"/>
      <c r="I54" s="14"/>
      <c r="J54" s="211">
        <v>132784.69</v>
      </c>
      <c r="K54" s="212"/>
      <c r="L54" s="211">
        <v>280000</v>
      </c>
      <c r="M54" s="271"/>
      <c r="N54" s="211">
        <f>280000+3334.37</f>
        <v>283334.37</v>
      </c>
      <c r="O54" s="271"/>
      <c r="P54" s="211">
        <v>164311.62</v>
      </c>
      <c r="Q54" s="212"/>
      <c r="R54" s="97">
        <f t="shared" si="46"/>
        <v>123.74289535939722</v>
      </c>
      <c r="S54" s="97">
        <f t="shared" si="45"/>
        <v>57.992124287639371</v>
      </c>
      <c r="T54" s="2"/>
    </row>
    <row r="55" spans="1:20" x14ac:dyDescent="0.25">
      <c r="A55" s="107"/>
      <c r="B55" s="101">
        <v>32</v>
      </c>
      <c r="C55" s="102"/>
      <c r="D55" s="120"/>
      <c r="E55" s="5" t="s">
        <v>49</v>
      </c>
      <c r="F55" s="5"/>
      <c r="G55" s="5"/>
      <c r="H55" s="5"/>
      <c r="I55" s="17"/>
      <c r="J55" s="218">
        <f t="shared" ref="J55" si="53">J56+J61+J68+J78</f>
        <v>100696.35</v>
      </c>
      <c r="K55" s="219"/>
      <c r="L55" s="218">
        <f t="shared" ref="L55:N55" si="54">L56+L61+L68+L78</f>
        <v>200314.75</v>
      </c>
      <c r="M55" s="219"/>
      <c r="N55" s="218">
        <f t="shared" si="54"/>
        <v>217215.11</v>
      </c>
      <c r="O55" s="219"/>
      <c r="P55" s="218">
        <f t="shared" ref="P55" si="55">P56+P61+P68+P78</f>
        <v>133647.48000000004</v>
      </c>
      <c r="Q55" s="219"/>
      <c r="R55" s="96">
        <f>P55/J55*100</f>
        <v>132.72326156807077</v>
      </c>
      <c r="S55" s="96">
        <f>P55/N55*100</f>
        <v>61.527708638685432</v>
      </c>
      <c r="T55" s="2"/>
    </row>
    <row r="56" spans="1:20" x14ac:dyDescent="0.25">
      <c r="A56" s="107"/>
      <c r="B56" s="101"/>
      <c r="C56" s="102">
        <v>321</v>
      </c>
      <c r="D56" s="120"/>
      <c r="E56" s="4" t="s">
        <v>50</v>
      </c>
      <c r="F56" s="4"/>
      <c r="G56" s="4"/>
      <c r="H56" s="4"/>
      <c r="I56" s="12"/>
      <c r="J56" s="213">
        <f t="shared" ref="J56" si="56">J57+J58+J59+J60</f>
        <v>31845.280000000002</v>
      </c>
      <c r="K56" s="214"/>
      <c r="L56" s="213">
        <f t="shared" ref="L56" si="57">L57+L58+L59+L60</f>
        <v>57000</v>
      </c>
      <c r="M56" s="214"/>
      <c r="N56" s="213">
        <f t="shared" ref="N56:P56" si="58">N57+N58+N59+N60</f>
        <v>58217.34</v>
      </c>
      <c r="O56" s="214"/>
      <c r="P56" s="213">
        <f t="shared" si="58"/>
        <v>33981.300000000003</v>
      </c>
      <c r="Q56" s="214"/>
      <c r="R56" s="97">
        <f>P56/J56*100</f>
        <v>106.70749322976592</v>
      </c>
      <c r="S56" s="97">
        <f t="shared" ref="S56:S78" si="59">P56/N56*100</f>
        <v>58.369722835155301</v>
      </c>
      <c r="T56" s="2"/>
    </row>
    <row r="57" spans="1:20" x14ac:dyDescent="0.25">
      <c r="A57" s="107"/>
      <c r="B57" s="101"/>
      <c r="C57" s="102"/>
      <c r="D57" s="120">
        <v>3211</v>
      </c>
      <c r="E57" s="7" t="s">
        <v>51</v>
      </c>
      <c r="F57" s="7"/>
      <c r="G57" s="7"/>
      <c r="H57" s="7"/>
      <c r="I57" s="14"/>
      <c r="J57" s="211">
        <v>9666.2900000000009</v>
      </c>
      <c r="K57" s="212"/>
      <c r="L57" s="211">
        <f>17000+2000</f>
        <v>19000</v>
      </c>
      <c r="M57" s="212"/>
      <c r="N57" s="211">
        <f>17000+2000</f>
        <v>19000</v>
      </c>
      <c r="O57" s="212"/>
      <c r="P57" s="211">
        <v>7720.07</v>
      </c>
      <c r="Q57" s="212"/>
      <c r="R57" s="97">
        <f>P57/J57*100</f>
        <v>79.865905119751218</v>
      </c>
      <c r="S57" s="97">
        <f t="shared" si="59"/>
        <v>40.631947368421052</v>
      </c>
      <c r="T57" s="2"/>
    </row>
    <row r="58" spans="1:20" x14ac:dyDescent="0.25">
      <c r="A58" s="107"/>
      <c r="B58" s="101"/>
      <c r="C58" s="102"/>
      <c r="D58" s="120">
        <v>3212</v>
      </c>
      <c r="E58" s="7" t="s">
        <v>52</v>
      </c>
      <c r="F58" s="7"/>
      <c r="G58" s="7"/>
      <c r="H58" s="7"/>
      <c r="I58" s="14"/>
      <c r="J58" s="211">
        <v>19809.84</v>
      </c>
      <c r="K58" s="212"/>
      <c r="L58" s="211">
        <v>34000</v>
      </c>
      <c r="M58" s="212"/>
      <c r="N58" s="211">
        <f>34000+1217.34</f>
        <v>35217.339999999997</v>
      </c>
      <c r="O58" s="212"/>
      <c r="P58" s="211">
        <v>24909.02</v>
      </c>
      <c r="Q58" s="212"/>
      <c r="R58" s="97">
        <f t="shared" si="46"/>
        <v>125.7406420243677</v>
      </c>
      <c r="S58" s="97">
        <f t="shared" si="59"/>
        <v>70.729419087301892</v>
      </c>
      <c r="T58" s="2"/>
    </row>
    <row r="59" spans="1:20" x14ac:dyDescent="0.25">
      <c r="A59" s="107"/>
      <c r="B59" s="101"/>
      <c r="C59" s="102"/>
      <c r="D59" s="120">
        <v>3213</v>
      </c>
      <c r="E59" s="7" t="s">
        <v>53</v>
      </c>
      <c r="F59" s="7"/>
      <c r="G59" s="7"/>
      <c r="H59" s="7"/>
      <c r="I59" s="14"/>
      <c r="J59" s="211">
        <v>1787.15</v>
      </c>
      <c r="K59" s="212"/>
      <c r="L59" s="211">
        <v>2500</v>
      </c>
      <c r="M59" s="212"/>
      <c r="N59" s="211">
        <v>2500</v>
      </c>
      <c r="O59" s="212"/>
      <c r="P59" s="211">
        <v>1042.21</v>
      </c>
      <c r="Q59" s="212"/>
      <c r="R59" s="97">
        <f t="shared" si="46"/>
        <v>58.316873233919928</v>
      </c>
      <c r="S59" s="97">
        <f t="shared" si="59"/>
        <v>41.688400000000001</v>
      </c>
      <c r="T59" s="2"/>
    </row>
    <row r="60" spans="1:20" x14ac:dyDescent="0.25">
      <c r="A60" s="107"/>
      <c r="B60" s="101"/>
      <c r="C60" s="102"/>
      <c r="D60" s="120">
        <v>3214</v>
      </c>
      <c r="E60" s="7" t="s">
        <v>80</v>
      </c>
      <c r="F60" s="7"/>
      <c r="G60" s="7"/>
      <c r="H60" s="7"/>
      <c r="I60" s="14"/>
      <c r="J60" s="211">
        <v>582</v>
      </c>
      <c r="K60" s="212"/>
      <c r="L60" s="211">
        <v>1500</v>
      </c>
      <c r="M60" s="212"/>
      <c r="N60" s="211">
        <v>1500</v>
      </c>
      <c r="O60" s="212"/>
      <c r="P60" s="211">
        <v>310</v>
      </c>
      <c r="Q60" s="212"/>
      <c r="R60" s="97">
        <f t="shared" si="46"/>
        <v>53.264604810996566</v>
      </c>
      <c r="S60" s="97">
        <f t="shared" si="59"/>
        <v>20.666666666666668</v>
      </c>
      <c r="T60" s="2"/>
    </row>
    <row r="61" spans="1:20" x14ac:dyDescent="0.25">
      <c r="A61" s="107"/>
      <c r="B61" s="101"/>
      <c r="C61" s="102">
        <v>322</v>
      </c>
      <c r="D61" s="120"/>
      <c r="E61" s="4" t="s">
        <v>54</v>
      </c>
      <c r="F61" s="4"/>
      <c r="G61" s="4"/>
      <c r="H61" s="4"/>
      <c r="I61" s="12"/>
      <c r="J61" s="213">
        <f t="shared" ref="J61" si="60">J62+J63+J64+J65+J66+J67</f>
        <v>38059.160000000003</v>
      </c>
      <c r="K61" s="214"/>
      <c r="L61" s="213">
        <f t="shared" ref="L61:N61" si="61">L62+L63+L64+L65+L66+L67</f>
        <v>77050</v>
      </c>
      <c r="M61" s="214"/>
      <c r="N61" s="213">
        <f t="shared" si="61"/>
        <v>77050</v>
      </c>
      <c r="O61" s="214"/>
      <c r="P61" s="213">
        <f t="shared" ref="P61" si="62">P62+P63+P64+P65+P66+P67</f>
        <v>45433.87</v>
      </c>
      <c r="Q61" s="214"/>
      <c r="R61" s="97">
        <f t="shared" si="46"/>
        <v>119.37696470442332</v>
      </c>
      <c r="S61" s="97">
        <f t="shared" si="59"/>
        <v>58.966735885788459</v>
      </c>
      <c r="T61" s="2"/>
    </row>
    <row r="62" spans="1:20" x14ac:dyDescent="0.25">
      <c r="A62" s="107"/>
      <c r="B62" s="101"/>
      <c r="C62" s="102"/>
      <c r="D62" s="120">
        <v>3221</v>
      </c>
      <c r="E62" s="7" t="s">
        <v>55</v>
      </c>
      <c r="F62" s="7"/>
      <c r="G62" s="7"/>
      <c r="H62" s="7"/>
      <c r="I62" s="14"/>
      <c r="J62" s="211">
        <v>4438.8100000000004</v>
      </c>
      <c r="K62" s="212"/>
      <c r="L62" s="211">
        <f>9000+200</f>
        <v>9200</v>
      </c>
      <c r="M62" s="212"/>
      <c r="N62" s="211">
        <f>9200</f>
        <v>9200</v>
      </c>
      <c r="O62" s="212"/>
      <c r="P62" s="211">
        <v>5753.24</v>
      </c>
      <c r="Q62" s="212"/>
      <c r="R62" s="97">
        <f t="shared" si="46"/>
        <v>129.61221588669034</v>
      </c>
      <c r="S62" s="97">
        <f t="shared" si="59"/>
        <v>62.535217391304343</v>
      </c>
      <c r="T62" s="2"/>
    </row>
    <row r="63" spans="1:20" x14ac:dyDescent="0.25">
      <c r="A63" s="107"/>
      <c r="B63" s="101"/>
      <c r="C63" s="102"/>
      <c r="D63" s="120">
        <v>3222</v>
      </c>
      <c r="E63" s="7" t="s">
        <v>81</v>
      </c>
      <c r="F63" s="7"/>
      <c r="G63" s="7"/>
      <c r="H63" s="7"/>
      <c r="I63" s="14"/>
      <c r="J63" s="211">
        <v>16253.95</v>
      </c>
      <c r="K63" s="212"/>
      <c r="L63" s="211">
        <f>23500+1500</f>
        <v>25000</v>
      </c>
      <c r="M63" s="212"/>
      <c r="N63" s="211">
        <f>23500+1500</f>
        <v>25000</v>
      </c>
      <c r="O63" s="212"/>
      <c r="P63" s="211">
        <v>15328.5</v>
      </c>
      <c r="Q63" s="212"/>
      <c r="R63" s="97">
        <f t="shared" si="46"/>
        <v>94.306307082278465</v>
      </c>
      <c r="S63" s="97">
        <f t="shared" si="59"/>
        <v>61.314</v>
      </c>
      <c r="T63" s="2"/>
    </row>
    <row r="64" spans="1:20" x14ac:dyDescent="0.25">
      <c r="A64" s="107"/>
      <c r="B64" s="101"/>
      <c r="C64" s="102"/>
      <c r="D64" s="120">
        <v>3223</v>
      </c>
      <c r="E64" s="7" t="s">
        <v>56</v>
      </c>
      <c r="F64" s="7"/>
      <c r="G64" s="7"/>
      <c r="H64" s="7"/>
      <c r="I64" s="14"/>
      <c r="J64" s="211">
        <v>12150</v>
      </c>
      <c r="K64" s="212"/>
      <c r="L64" s="211">
        <v>32000</v>
      </c>
      <c r="M64" s="212"/>
      <c r="N64" s="211">
        <v>32000</v>
      </c>
      <c r="O64" s="212"/>
      <c r="P64" s="211">
        <v>22710</v>
      </c>
      <c r="Q64" s="212"/>
      <c r="R64" s="97">
        <f t="shared" si="46"/>
        <v>186.91358024691357</v>
      </c>
      <c r="S64" s="97">
        <f t="shared" si="59"/>
        <v>70.96875</v>
      </c>
      <c r="T64" s="2"/>
    </row>
    <row r="65" spans="1:20" x14ac:dyDescent="0.25">
      <c r="A65" s="107"/>
      <c r="B65" s="101"/>
      <c r="C65" s="102"/>
      <c r="D65" s="120">
        <v>3224</v>
      </c>
      <c r="E65" s="7" t="s">
        <v>57</v>
      </c>
      <c r="F65" s="7"/>
      <c r="G65" s="7"/>
      <c r="H65" s="7"/>
      <c r="I65" s="14"/>
      <c r="J65" s="211">
        <v>3987.12</v>
      </c>
      <c r="K65" s="212"/>
      <c r="L65" s="211">
        <f>5500+3000</f>
        <v>8500</v>
      </c>
      <c r="M65" s="212"/>
      <c r="N65" s="211">
        <f>5500+3000</f>
        <v>8500</v>
      </c>
      <c r="O65" s="212"/>
      <c r="P65" s="211">
        <v>840.66</v>
      </c>
      <c r="Q65" s="212"/>
      <c r="R65" s="97">
        <f t="shared" si="46"/>
        <v>21.084391741407334</v>
      </c>
      <c r="S65" s="97">
        <f t="shared" si="59"/>
        <v>9.8901176470588226</v>
      </c>
      <c r="T65" s="2"/>
    </row>
    <row r="66" spans="1:20" x14ac:dyDescent="0.25">
      <c r="A66" s="107"/>
      <c r="B66" s="101"/>
      <c r="C66" s="102"/>
      <c r="D66" s="120">
        <v>3225</v>
      </c>
      <c r="E66" s="7" t="s">
        <v>58</v>
      </c>
      <c r="F66" s="7"/>
      <c r="G66" s="7"/>
      <c r="H66" s="7"/>
      <c r="I66" s="14"/>
      <c r="J66" s="211">
        <v>623.85</v>
      </c>
      <c r="K66" s="212"/>
      <c r="L66" s="211">
        <f>1800</f>
        <v>1800</v>
      </c>
      <c r="M66" s="212"/>
      <c r="N66" s="211">
        <f>1800</f>
        <v>1800</v>
      </c>
      <c r="O66" s="212"/>
      <c r="P66" s="211">
        <v>275</v>
      </c>
      <c r="Q66" s="212"/>
      <c r="R66" s="97">
        <f t="shared" si="46"/>
        <v>44.081109241003446</v>
      </c>
      <c r="S66" s="97">
        <f t="shared" si="59"/>
        <v>15.277777777777779</v>
      </c>
      <c r="T66" s="2"/>
    </row>
    <row r="67" spans="1:20" x14ac:dyDescent="0.25">
      <c r="A67" s="107"/>
      <c r="B67" s="101"/>
      <c r="C67" s="102"/>
      <c r="D67" s="120">
        <v>3227</v>
      </c>
      <c r="E67" s="7" t="s">
        <v>59</v>
      </c>
      <c r="F67" s="7"/>
      <c r="G67" s="7"/>
      <c r="H67" s="7"/>
      <c r="I67" s="14"/>
      <c r="J67" s="211">
        <v>605.42999999999995</v>
      </c>
      <c r="K67" s="212"/>
      <c r="L67" s="211">
        <v>550</v>
      </c>
      <c r="M67" s="212"/>
      <c r="N67" s="211">
        <v>550</v>
      </c>
      <c r="O67" s="212"/>
      <c r="P67" s="211">
        <v>526.47</v>
      </c>
      <c r="Q67" s="212"/>
      <c r="R67" s="97">
        <f t="shared" si="46"/>
        <v>86.958029830038157</v>
      </c>
      <c r="S67" s="97">
        <f t="shared" si="59"/>
        <v>95.721818181818179</v>
      </c>
      <c r="T67" s="2"/>
    </row>
    <row r="68" spans="1:20" x14ac:dyDescent="0.25">
      <c r="A68" s="107"/>
      <c r="B68" s="101"/>
      <c r="C68" s="102">
        <v>323</v>
      </c>
      <c r="D68" s="120"/>
      <c r="E68" s="4" t="s">
        <v>60</v>
      </c>
      <c r="F68" s="4"/>
      <c r="G68" s="4"/>
      <c r="H68" s="4"/>
      <c r="I68" s="12"/>
      <c r="J68" s="213">
        <f t="shared" ref="J68" si="63">J69+J70+J71+J72+J73+J74+J75+J76+J77</f>
        <v>25485.42</v>
      </c>
      <c r="K68" s="214"/>
      <c r="L68" s="213">
        <f t="shared" ref="L68:N68" si="64">L69+L70+L71+L72+L73+L74+L75+L76+L77</f>
        <v>58900</v>
      </c>
      <c r="M68" s="214"/>
      <c r="N68" s="213">
        <f t="shared" si="64"/>
        <v>74583.02</v>
      </c>
      <c r="O68" s="214"/>
      <c r="P68" s="213">
        <f t="shared" ref="P68" si="65">P69+P70+P71+P72+P73+P74+P75+P76+P77</f>
        <v>47741.270000000011</v>
      </c>
      <c r="Q68" s="214"/>
      <c r="R68" s="97">
        <f t="shared" si="46"/>
        <v>187.32777407631508</v>
      </c>
      <c r="S68" s="97">
        <f t="shared" si="59"/>
        <v>64.01091025812579</v>
      </c>
      <c r="T68" s="2"/>
    </row>
    <row r="69" spans="1:20" x14ac:dyDescent="0.25">
      <c r="A69" s="107"/>
      <c r="B69" s="101"/>
      <c r="C69" s="102"/>
      <c r="D69" s="120">
        <v>3231</v>
      </c>
      <c r="E69" s="7" t="s">
        <v>61</v>
      </c>
      <c r="F69" s="7"/>
      <c r="G69" s="7"/>
      <c r="H69" s="7"/>
      <c r="I69" s="14"/>
      <c r="J69" s="211">
        <v>14590.26</v>
      </c>
      <c r="K69" s="212"/>
      <c r="L69" s="211">
        <f>22000+8000</f>
        <v>30000</v>
      </c>
      <c r="M69" s="212"/>
      <c r="N69" s="211">
        <f>8000+22000</f>
        <v>30000</v>
      </c>
      <c r="O69" s="212"/>
      <c r="P69" s="211">
        <v>16295.11</v>
      </c>
      <c r="Q69" s="212"/>
      <c r="R69" s="97">
        <f t="shared" si="46"/>
        <v>111.68485003008857</v>
      </c>
      <c r="S69" s="97">
        <f t="shared" si="59"/>
        <v>54.317033333333328</v>
      </c>
      <c r="T69" s="2"/>
    </row>
    <row r="70" spans="1:20" x14ac:dyDescent="0.25">
      <c r="A70" s="107"/>
      <c r="B70" s="101"/>
      <c r="C70" s="102"/>
      <c r="D70" s="120">
        <v>3232</v>
      </c>
      <c r="E70" s="7" t="s">
        <v>62</v>
      </c>
      <c r="F70" s="7"/>
      <c r="G70" s="7"/>
      <c r="H70" s="7"/>
      <c r="I70" s="14"/>
      <c r="J70" s="211">
        <v>56.25</v>
      </c>
      <c r="K70" s="212"/>
      <c r="L70" s="211">
        <f>1300+2000</f>
        <v>3300</v>
      </c>
      <c r="M70" s="212"/>
      <c r="N70" s="211">
        <f>1300+2000+14953</f>
        <v>18253</v>
      </c>
      <c r="O70" s="212"/>
      <c r="P70" s="211">
        <v>18836.330000000002</v>
      </c>
      <c r="Q70" s="212"/>
      <c r="R70" s="97">
        <f t="shared" si="46"/>
        <v>33486.808888888889</v>
      </c>
      <c r="S70" s="97">
        <f t="shared" si="59"/>
        <v>103.19580342957325</v>
      </c>
      <c r="T70" s="2"/>
    </row>
    <row r="71" spans="1:20" x14ac:dyDescent="0.25">
      <c r="A71" s="107"/>
      <c r="B71" s="101"/>
      <c r="C71" s="102"/>
      <c r="D71" s="120">
        <v>3233</v>
      </c>
      <c r="E71" s="7" t="s">
        <v>83</v>
      </c>
      <c r="F71" s="7"/>
      <c r="G71" s="7"/>
      <c r="H71" s="7"/>
      <c r="I71" s="14"/>
      <c r="J71" s="211">
        <v>63.72</v>
      </c>
      <c r="K71" s="212"/>
      <c r="L71" s="211">
        <v>0</v>
      </c>
      <c r="M71" s="212"/>
      <c r="N71" s="211">
        <v>0</v>
      </c>
      <c r="O71" s="212"/>
      <c r="P71" s="211"/>
      <c r="Q71" s="212"/>
      <c r="R71" s="97">
        <f t="shared" si="46"/>
        <v>0</v>
      </c>
      <c r="S71" s="97" t="e">
        <f t="shared" si="59"/>
        <v>#DIV/0!</v>
      </c>
      <c r="T71" s="2"/>
    </row>
    <row r="72" spans="1:20" x14ac:dyDescent="0.25">
      <c r="A72" s="107"/>
      <c r="B72" s="101"/>
      <c r="C72" s="102"/>
      <c r="D72" s="120">
        <v>3234</v>
      </c>
      <c r="E72" s="7" t="s">
        <v>82</v>
      </c>
      <c r="F72" s="7"/>
      <c r="G72" s="7"/>
      <c r="H72" s="7"/>
      <c r="I72" s="14"/>
      <c r="J72" s="211">
        <v>3432.73</v>
      </c>
      <c r="K72" s="212"/>
      <c r="L72" s="211">
        <f>6800+1000</f>
        <v>7800</v>
      </c>
      <c r="M72" s="212"/>
      <c r="N72" s="211">
        <f>1000+6800</f>
        <v>7800</v>
      </c>
      <c r="O72" s="212"/>
      <c r="P72" s="211">
        <v>3819.98</v>
      </c>
      <c r="Q72" s="212"/>
      <c r="R72" s="97">
        <f>P72/J72*100</f>
        <v>111.28110862200056</v>
      </c>
      <c r="S72" s="97">
        <f t="shared" si="59"/>
        <v>48.974102564102559</v>
      </c>
      <c r="T72" s="2"/>
    </row>
    <row r="73" spans="1:20" x14ac:dyDescent="0.25">
      <c r="A73" s="107"/>
      <c r="B73" s="101"/>
      <c r="C73" s="102"/>
      <c r="D73" s="120">
        <v>3235</v>
      </c>
      <c r="E73" s="7" t="s">
        <v>63</v>
      </c>
      <c r="F73" s="7"/>
      <c r="G73" s="7"/>
      <c r="H73" s="7"/>
      <c r="I73" s="14"/>
      <c r="J73" s="211">
        <v>1078.82</v>
      </c>
      <c r="K73" s="212"/>
      <c r="L73" s="211">
        <v>2200</v>
      </c>
      <c r="M73" s="212"/>
      <c r="N73" s="211">
        <f>200+2000</f>
        <v>2200</v>
      </c>
      <c r="O73" s="212"/>
      <c r="P73" s="211">
        <v>1420.25</v>
      </c>
      <c r="Q73" s="212"/>
      <c r="R73" s="97">
        <f t="shared" si="46"/>
        <v>131.64846777034168</v>
      </c>
      <c r="S73" s="97">
        <f t="shared" si="59"/>
        <v>64.556818181818173</v>
      </c>
      <c r="T73" s="2"/>
    </row>
    <row r="74" spans="1:20" x14ac:dyDescent="0.25">
      <c r="A74" s="107"/>
      <c r="B74" s="101"/>
      <c r="C74" s="102"/>
      <c r="D74" s="120">
        <v>3236</v>
      </c>
      <c r="E74" s="7" t="s">
        <v>64</v>
      </c>
      <c r="F74" s="7"/>
      <c r="G74" s="7"/>
      <c r="H74" s="7"/>
      <c r="I74" s="14"/>
      <c r="J74" s="211">
        <v>87.6</v>
      </c>
      <c r="K74" s="212"/>
      <c r="L74" s="211">
        <v>4500</v>
      </c>
      <c r="M74" s="212"/>
      <c r="N74" s="211">
        <v>4500</v>
      </c>
      <c r="O74" s="212"/>
      <c r="P74" s="211">
        <v>24.16</v>
      </c>
      <c r="Q74" s="212"/>
      <c r="R74" s="97">
        <f t="shared" si="46"/>
        <v>27.579908675799086</v>
      </c>
      <c r="S74" s="97">
        <f t="shared" si="59"/>
        <v>0.53688888888888897</v>
      </c>
      <c r="T74" s="2"/>
    </row>
    <row r="75" spans="1:20" x14ac:dyDescent="0.25">
      <c r="A75" s="107"/>
      <c r="B75" s="101"/>
      <c r="C75" s="102"/>
      <c r="D75" s="120">
        <v>3237</v>
      </c>
      <c r="E75" s="7" t="s">
        <v>65</v>
      </c>
      <c r="F75" s="7"/>
      <c r="G75" s="7"/>
      <c r="H75" s="7"/>
      <c r="I75" s="14"/>
      <c r="J75" s="211">
        <v>1958.97</v>
      </c>
      <c r="K75" s="212"/>
      <c r="L75" s="211">
        <f>2200+1000</f>
        <v>3200</v>
      </c>
      <c r="M75" s="212"/>
      <c r="N75" s="211">
        <f>2200+1000+730.02</f>
        <v>3930.02</v>
      </c>
      <c r="O75" s="212"/>
      <c r="P75" s="211">
        <v>1445.38</v>
      </c>
      <c r="Q75" s="212"/>
      <c r="R75" s="97">
        <f t="shared" si="46"/>
        <v>73.782651087050851</v>
      </c>
      <c r="S75" s="97">
        <f t="shared" si="59"/>
        <v>36.777929883308488</v>
      </c>
      <c r="T75" s="2"/>
    </row>
    <row r="76" spans="1:20" x14ac:dyDescent="0.25">
      <c r="A76" s="107"/>
      <c r="B76" s="101"/>
      <c r="C76" s="102"/>
      <c r="D76" s="120">
        <v>3238</v>
      </c>
      <c r="E76" s="7" t="s">
        <v>66</v>
      </c>
      <c r="F76" s="7"/>
      <c r="G76" s="7"/>
      <c r="H76" s="7"/>
      <c r="I76" s="14"/>
      <c r="J76" s="211">
        <v>1944.47</v>
      </c>
      <c r="K76" s="212"/>
      <c r="L76" s="211">
        <v>5600</v>
      </c>
      <c r="M76" s="212"/>
      <c r="N76" s="211">
        <v>5600</v>
      </c>
      <c r="O76" s="212"/>
      <c r="P76" s="211">
        <v>2568.7600000000002</v>
      </c>
      <c r="Q76" s="212"/>
      <c r="R76" s="97">
        <f t="shared" si="46"/>
        <v>132.10592089361114</v>
      </c>
      <c r="S76" s="97">
        <f t="shared" si="59"/>
        <v>45.870714285714286</v>
      </c>
      <c r="T76" s="2"/>
    </row>
    <row r="77" spans="1:20" x14ac:dyDescent="0.25">
      <c r="A77" s="107"/>
      <c r="B77" s="101"/>
      <c r="C77" s="102"/>
      <c r="D77" s="120">
        <v>3239</v>
      </c>
      <c r="E77" s="7" t="s">
        <v>67</v>
      </c>
      <c r="F77" s="7"/>
      <c r="G77" s="7"/>
      <c r="H77" s="7"/>
      <c r="I77" s="14"/>
      <c r="J77" s="211">
        <v>2272.6</v>
      </c>
      <c r="K77" s="212"/>
      <c r="L77" s="211">
        <f>1800+500</f>
        <v>2300</v>
      </c>
      <c r="M77" s="212"/>
      <c r="N77" s="211">
        <f>1800+500</f>
        <v>2300</v>
      </c>
      <c r="O77" s="212"/>
      <c r="P77" s="211">
        <v>3331.3</v>
      </c>
      <c r="Q77" s="212"/>
      <c r="R77" s="97">
        <f t="shared" si="46"/>
        <v>146.58540878289185</v>
      </c>
      <c r="S77" s="97">
        <f t="shared" si="59"/>
        <v>144.83913043478262</v>
      </c>
      <c r="T77" s="2"/>
    </row>
    <row r="78" spans="1:20" x14ac:dyDescent="0.25">
      <c r="A78" s="107"/>
      <c r="B78" s="101"/>
      <c r="C78" s="102">
        <v>329</v>
      </c>
      <c r="D78" s="120"/>
      <c r="E78" s="4" t="s">
        <v>68</v>
      </c>
      <c r="F78" s="4"/>
      <c r="G78" s="4"/>
      <c r="H78" s="4"/>
      <c r="I78" s="12"/>
      <c r="J78" s="213">
        <f>J79+J81+J82+J83+J84+J85</f>
        <v>5306.49</v>
      </c>
      <c r="K78" s="214"/>
      <c r="L78" s="213">
        <f t="shared" ref="L78" si="66">L79+L81+L82+L83+L84+L85</f>
        <v>7364.75</v>
      </c>
      <c r="M78" s="214"/>
      <c r="N78" s="213">
        <f t="shared" ref="N78" si="67">N79+N81+N82+N83+N84+N85</f>
        <v>7364.75</v>
      </c>
      <c r="O78" s="214"/>
      <c r="P78" s="213">
        <f t="shared" ref="P78" si="68">P79+P81+P82+P83+P84+P85</f>
        <v>6491.04</v>
      </c>
      <c r="Q78" s="214"/>
      <c r="R78" s="97">
        <f t="shared" si="46"/>
        <v>122.32266526460995</v>
      </c>
      <c r="S78" s="97">
        <f t="shared" si="59"/>
        <v>88.136596625818925</v>
      </c>
      <c r="T78" s="2"/>
    </row>
    <row r="79" spans="1:20" x14ac:dyDescent="0.25">
      <c r="A79" s="109"/>
      <c r="B79" s="99"/>
      <c r="C79" s="100"/>
      <c r="D79" s="140">
        <v>3291</v>
      </c>
      <c r="E79" s="267" t="s">
        <v>69</v>
      </c>
      <c r="F79" s="267"/>
      <c r="G79" s="267"/>
      <c r="H79" s="267"/>
      <c r="I79" s="268"/>
      <c r="J79" s="220"/>
      <c r="K79" s="221"/>
      <c r="L79" s="220">
        <v>250</v>
      </c>
      <c r="M79" s="221"/>
      <c r="N79" s="220">
        <v>250</v>
      </c>
      <c r="O79" s="221"/>
      <c r="P79" s="220">
        <v>142.68</v>
      </c>
      <c r="Q79" s="221"/>
      <c r="R79" s="273" t="e">
        <f>P79/J79*100</f>
        <v>#DIV/0!</v>
      </c>
      <c r="S79" s="273">
        <f>P79/N79*100</f>
        <v>57.072000000000003</v>
      </c>
      <c r="T79" s="2"/>
    </row>
    <row r="80" spans="1:20" x14ac:dyDescent="0.25">
      <c r="A80" s="107"/>
      <c r="B80" s="101"/>
      <c r="C80" s="102"/>
      <c r="D80" s="120"/>
      <c r="E80" s="267"/>
      <c r="F80" s="267"/>
      <c r="G80" s="267"/>
      <c r="H80" s="267"/>
      <c r="I80" s="268"/>
      <c r="J80" s="222"/>
      <c r="K80" s="223"/>
      <c r="L80" s="222"/>
      <c r="M80" s="223"/>
      <c r="N80" s="222"/>
      <c r="O80" s="223"/>
      <c r="P80" s="222"/>
      <c r="Q80" s="223"/>
      <c r="R80" s="274"/>
      <c r="S80" s="274"/>
      <c r="T80" s="2"/>
    </row>
    <row r="81" spans="1:23" x14ac:dyDescent="0.25">
      <c r="A81" s="107"/>
      <c r="B81" s="101"/>
      <c r="C81" s="102"/>
      <c r="D81" s="120">
        <v>3292</v>
      </c>
      <c r="E81" s="7" t="s">
        <v>70</v>
      </c>
      <c r="F81" s="7"/>
      <c r="G81" s="7"/>
      <c r="H81" s="7"/>
      <c r="I81" s="14"/>
      <c r="J81" s="272"/>
      <c r="K81" s="272"/>
      <c r="L81" s="211">
        <v>300</v>
      </c>
      <c r="M81" s="212"/>
      <c r="N81" s="211">
        <v>300</v>
      </c>
      <c r="O81" s="212"/>
      <c r="P81" s="272">
        <v>133.08000000000001</v>
      </c>
      <c r="Q81" s="272"/>
      <c r="R81" s="97" t="e">
        <f>P81/J81*100</f>
        <v>#DIV/0!</v>
      </c>
      <c r="S81" s="97">
        <f>P81/N81*100</f>
        <v>44.360000000000007</v>
      </c>
      <c r="T81" s="2"/>
    </row>
    <row r="82" spans="1:23" x14ac:dyDescent="0.25">
      <c r="A82" s="107"/>
      <c r="B82" s="101"/>
      <c r="C82" s="102"/>
      <c r="D82" s="120">
        <v>3293</v>
      </c>
      <c r="E82" s="7" t="s">
        <v>71</v>
      </c>
      <c r="F82" s="7"/>
      <c r="G82" s="7"/>
      <c r="H82" s="7"/>
      <c r="I82" s="14"/>
      <c r="J82" s="272">
        <v>436.94</v>
      </c>
      <c r="K82" s="272"/>
      <c r="L82" s="211">
        <v>600</v>
      </c>
      <c r="M82" s="212"/>
      <c r="N82" s="211">
        <v>600</v>
      </c>
      <c r="O82" s="212"/>
      <c r="P82" s="272"/>
      <c r="Q82" s="272"/>
      <c r="R82" s="97">
        <f t="shared" ref="R82:R85" si="69">P82/J82*100</f>
        <v>0</v>
      </c>
      <c r="S82" s="97">
        <f t="shared" ref="S82:S85" si="70">P82/N82*100</f>
        <v>0</v>
      </c>
      <c r="T82" s="2"/>
    </row>
    <row r="83" spans="1:23" x14ac:dyDescent="0.25">
      <c r="A83" s="107"/>
      <c r="B83" s="101"/>
      <c r="C83" s="102"/>
      <c r="D83" s="120">
        <v>3294</v>
      </c>
      <c r="E83" s="7" t="s">
        <v>84</v>
      </c>
      <c r="F83" s="7"/>
      <c r="G83" s="7"/>
      <c r="H83" s="7"/>
      <c r="I83" s="14"/>
      <c r="J83" s="272">
        <v>150</v>
      </c>
      <c r="K83" s="272"/>
      <c r="L83" s="211">
        <v>250</v>
      </c>
      <c r="M83" s="212"/>
      <c r="N83" s="211">
        <v>250</v>
      </c>
      <c r="O83" s="212"/>
      <c r="P83" s="272">
        <v>175</v>
      </c>
      <c r="Q83" s="272"/>
      <c r="R83" s="97">
        <f t="shared" si="69"/>
        <v>116.66666666666667</v>
      </c>
      <c r="S83" s="97">
        <f t="shared" si="70"/>
        <v>70</v>
      </c>
      <c r="T83" s="2"/>
    </row>
    <row r="84" spans="1:23" x14ac:dyDescent="0.25">
      <c r="A84" s="107"/>
      <c r="B84" s="101"/>
      <c r="C84" s="102"/>
      <c r="D84" s="120">
        <v>3295</v>
      </c>
      <c r="E84" s="7" t="s">
        <v>73</v>
      </c>
      <c r="F84" s="7"/>
      <c r="G84" s="7"/>
      <c r="H84" s="7"/>
      <c r="I84" s="14"/>
      <c r="J84" s="272">
        <v>1023.64</v>
      </c>
      <c r="K84" s="272"/>
      <c r="L84" s="211">
        <f>127.44+2200+1000</f>
        <v>3327.44</v>
      </c>
      <c r="M84" s="212"/>
      <c r="N84" s="211">
        <f>127.44+2200+1000</f>
        <v>3327.44</v>
      </c>
      <c r="O84" s="212"/>
      <c r="P84" s="272">
        <v>4003.73</v>
      </c>
      <c r="Q84" s="272"/>
      <c r="R84" s="97">
        <f t="shared" si="69"/>
        <v>391.126763315228</v>
      </c>
      <c r="S84" s="97">
        <f t="shared" si="70"/>
        <v>120.32463395282859</v>
      </c>
      <c r="T84" s="2"/>
      <c r="W84" s="25"/>
    </row>
    <row r="85" spans="1:23" x14ac:dyDescent="0.25">
      <c r="A85" s="107"/>
      <c r="B85" s="101"/>
      <c r="C85" s="102"/>
      <c r="D85" s="120">
        <v>3299</v>
      </c>
      <c r="E85" s="7" t="s">
        <v>68</v>
      </c>
      <c r="F85" s="7"/>
      <c r="G85" s="7"/>
      <c r="H85" s="7"/>
      <c r="I85" s="14"/>
      <c r="J85" s="272">
        <v>3695.91</v>
      </c>
      <c r="K85" s="272"/>
      <c r="L85" s="211">
        <f>1000+1637.31</f>
        <v>2637.31</v>
      </c>
      <c r="M85" s="212"/>
      <c r="N85" s="211">
        <f>1637.31+1000</f>
        <v>2637.31</v>
      </c>
      <c r="O85" s="212"/>
      <c r="P85" s="272">
        <v>2036.55</v>
      </c>
      <c r="Q85" s="272"/>
      <c r="R85" s="97">
        <f t="shared" si="69"/>
        <v>55.102802827990935</v>
      </c>
      <c r="S85" s="97">
        <f t="shared" si="70"/>
        <v>77.220728697043583</v>
      </c>
      <c r="T85" s="2"/>
      <c r="U85" s="25"/>
    </row>
    <row r="86" spans="1:23" x14ac:dyDescent="0.25">
      <c r="A86" s="107"/>
      <c r="B86" s="101">
        <v>38</v>
      </c>
      <c r="C86" s="102"/>
      <c r="D86" s="120"/>
      <c r="E86" s="5" t="s">
        <v>122</v>
      </c>
      <c r="F86" s="5"/>
      <c r="G86" s="5"/>
      <c r="H86" s="5"/>
      <c r="I86" s="17"/>
      <c r="J86" s="218">
        <f t="shared" ref="J86" si="71">J87</f>
        <v>1426.5</v>
      </c>
      <c r="K86" s="219"/>
      <c r="L86" s="218">
        <f t="shared" ref="L86:N87" si="72">L87</f>
        <v>0</v>
      </c>
      <c r="M86" s="219"/>
      <c r="N86" s="218">
        <f t="shared" si="72"/>
        <v>1280</v>
      </c>
      <c r="O86" s="219"/>
      <c r="P86" s="218">
        <f t="shared" ref="P86:P87" si="73">P87</f>
        <v>1280</v>
      </c>
      <c r="Q86" s="219"/>
      <c r="R86" s="97">
        <f t="shared" ref="R86:R87" si="74">P86/J86*100</f>
        <v>89.730108657553458</v>
      </c>
      <c r="S86" s="97">
        <f t="shared" ref="S86:S87" si="75">P86/N86*100</f>
        <v>100</v>
      </c>
      <c r="T86" s="2"/>
    </row>
    <row r="87" spans="1:23" x14ac:dyDescent="0.25">
      <c r="A87" s="107"/>
      <c r="B87" s="101"/>
      <c r="C87" s="102">
        <v>381</v>
      </c>
      <c r="D87" s="120"/>
      <c r="E87" s="4" t="s">
        <v>28</v>
      </c>
      <c r="F87" s="4"/>
      <c r="G87" s="4"/>
      <c r="H87" s="4"/>
      <c r="I87" s="12"/>
      <c r="J87" s="213">
        <f>J88</f>
        <v>1426.5</v>
      </c>
      <c r="K87" s="214"/>
      <c r="L87" s="213">
        <f t="shared" si="72"/>
        <v>0</v>
      </c>
      <c r="M87" s="214"/>
      <c r="N87" s="213">
        <f t="shared" si="72"/>
        <v>1280</v>
      </c>
      <c r="O87" s="214"/>
      <c r="P87" s="213">
        <f t="shared" si="73"/>
        <v>1280</v>
      </c>
      <c r="Q87" s="214"/>
      <c r="R87" s="97">
        <f t="shared" si="74"/>
        <v>89.730108657553458</v>
      </c>
      <c r="S87" s="97">
        <f t="shared" si="75"/>
        <v>100</v>
      </c>
      <c r="T87" s="2"/>
      <c r="V87" s="25"/>
    </row>
    <row r="88" spans="1:23" x14ac:dyDescent="0.25">
      <c r="A88" s="107"/>
      <c r="B88" s="101"/>
      <c r="C88" s="102"/>
      <c r="D88" s="120">
        <v>3812</v>
      </c>
      <c r="E88" s="8" t="s">
        <v>149</v>
      </c>
      <c r="F88" s="8"/>
      <c r="G88" s="8"/>
      <c r="H88" s="8"/>
      <c r="I88" s="24"/>
      <c r="J88" s="220">
        <v>1426.5</v>
      </c>
      <c r="K88" s="275"/>
      <c r="L88" s="220"/>
      <c r="M88" s="275"/>
      <c r="N88" s="220">
        <v>1280</v>
      </c>
      <c r="O88" s="275"/>
      <c r="P88" s="220">
        <v>1280</v>
      </c>
      <c r="Q88" s="275"/>
      <c r="R88" s="97">
        <f t="shared" ref="R88" si="76">P88/J88*100</f>
        <v>89.730108657553458</v>
      </c>
      <c r="S88" s="97">
        <f t="shared" ref="S88" si="77">P88/N88*100</f>
        <v>100</v>
      </c>
      <c r="T88" s="2"/>
    </row>
    <row r="89" spans="1:23" x14ac:dyDescent="0.25">
      <c r="A89" s="121">
        <v>4</v>
      </c>
      <c r="B89" s="116"/>
      <c r="C89" s="116"/>
      <c r="D89" s="122"/>
      <c r="E89" s="269" t="s">
        <v>79</v>
      </c>
      <c r="F89" s="269"/>
      <c r="G89" s="269"/>
      <c r="H89" s="269"/>
      <c r="I89" s="270"/>
      <c r="J89" s="216">
        <f>J90</f>
        <v>1493.13</v>
      </c>
      <c r="K89" s="217"/>
      <c r="L89" s="216">
        <f t="shared" ref="L89" si="78">L90</f>
        <v>18000</v>
      </c>
      <c r="M89" s="217"/>
      <c r="N89" s="216">
        <f t="shared" ref="N89" si="79">N90</f>
        <v>18000</v>
      </c>
      <c r="O89" s="217"/>
      <c r="P89" s="216">
        <f t="shared" ref="P89" si="80">P90</f>
        <v>2268.4699999999998</v>
      </c>
      <c r="Q89" s="217"/>
      <c r="R89" s="87">
        <f>P89/J89*100</f>
        <v>151.92715972487323</v>
      </c>
      <c r="S89" s="87">
        <f>P89/N89*100</f>
        <v>12.602611111111109</v>
      </c>
      <c r="T89" s="2"/>
    </row>
    <row r="90" spans="1:23" x14ac:dyDescent="0.25">
      <c r="A90" s="107"/>
      <c r="B90" s="101">
        <v>42</v>
      </c>
      <c r="C90" s="102"/>
      <c r="D90" s="120"/>
      <c r="E90" s="5" t="s">
        <v>74</v>
      </c>
      <c r="F90" s="5"/>
      <c r="G90" s="5"/>
      <c r="H90" s="5"/>
      <c r="I90" s="17"/>
      <c r="J90" s="218">
        <f>J91+J95</f>
        <v>1493.13</v>
      </c>
      <c r="K90" s="219"/>
      <c r="L90" s="218">
        <f>L91+L95</f>
        <v>18000</v>
      </c>
      <c r="M90" s="219"/>
      <c r="N90" s="218">
        <f>N91+N95</f>
        <v>18000</v>
      </c>
      <c r="O90" s="219"/>
      <c r="P90" s="218">
        <f>P91+P95</f>
        <v>2268.4699999999998</v>
      </c>
      <c r="Q90" s="219"/>
      <c r="R90" s="96">
        <f t="shared" ref="R90:R96" si="81">P90/J90*100</f>
        <v>151.92715972487323</v>
      </c>
      <c r="S90" s="96">
        <f t="shared" ref="S90:S96" si="82">P90/N90*100</f>
        <v>12.602611111111109</v>
      </c>
      <c r="T90" s="2"/>
    </row>
    <row r="91" spans="1:23" x14ac:dyDescent="0.25">
      <c r="A91" s="107"/>
      <c r="B91" s="101"/>
      <c r="C91" s="102">
        <v>422</v>
      </c>
      <c r="D91" s="120"/>
      <c r="E91" s="4" t="s">
        <v>75</v>
      </c>
      <c r="F91" s="4"/>
      <c r="G91" s="4"/>
      <c r="H91" s="4"/>
      <c r="I91" s="12"/>
      <c r="J91" s="213">
        <f>J92+J94+J93</f>
        <v>1493.13</v>
      </c>
      <c r="K91" s="214"/>
      <c r="L91" s="213">
        <f>L92+L94+L93</f>
        <v>16000</v>
      </c>
      <c r="M91" s="214"/>
      <c r="N91" s="213">
        <f t="shared" ref="N91" si="83">N92+N94+N93</f>
        <v>16000</v>
      </c>
      <c r="O91" s="214"/>
      <c r="P91" s="213">
        <f t="shared" ref="P91" si="84">P92+P94+P93</f>
        <v>2268.4699999999998</v>
      </c>
      <c r="Q91" s="214"/>
      <c r="R91" s="97">
        <f t="shared" si="81"/>
        <v>151.92715972487323</v>
      </c>
      <c r="S91" s="97">
        <f t="shared" si="82"/>
        <v>14.177937499999999</v>
      </c>
      <c r="T91" s="2"/>
    </row>
    <row r="92" spans="1:23" x14ac:dyDescent="0.25">
      <c r="A92" s="107"/>
      <c r="B92" s="101"/>
      <c r="C92" s="102"/>
      <c r="D92" s="120">
        <v>4221</v>
      </c>
      <c r="E92" s="7" t="s">
        <v>85</v>
      </c>
      <c r="F92" s="7"/>
      <c r="G92" s="7"/>
      <c r="H92" s="7"/>
      <c r="I92" s="14"/>
      <c r="J92" s="211"/>
      <c r="K92" s="212"/>
      <c r="L92" s="211">
        <v>5000</v>
      </c>
      <c r="M92" s="212"/>
      <c r="N92" s="211">
        <v>5000</v>
      </c>
      <c r="O92" s="212"/>
      <c r="P92" s="211">
        <v>2268.4699999999998</v>
      </c>
      <c r="Q92" s="212"/>
      <c r="R92" s="97" t="e">
        <f t="shared" si="81"/>
        <v>#DIV/0!</v>
      </c>
      <c r="S92" s="97">
        <f t="shared" si="82"/>
        <v>45.369399999999999</v>
      </c>
      <c r="T92" s="2"/>
    </row>
    <row r="93" spans="1:23" s="74" customFormat="1" x14ac:dyDescent="0.25">
      <c r="A93" s="107"/>
      <c r="B93" s="101"/>
      <c r="C93" s="102"/>
      <c r="D93" s="120">
        <v>4223</v>
      </c>
      <c r="E93" s="7" t="s">
        <v>181</v>
      </c>
      <c r="F93" s="7"/>
      <c r="G93" s="7"/>
      <c r="H93" s="7"/>
      <c r="I93" s="14"/>
      <c r="J93" s="211"/>
      <c r="K93" s="212"/>
      <c r="L93" s="211">
        <v>4000</v>
      </c>
      <c r="M93" s="212"/>
      <c r="N93" s="211">
        <v>4000</v>
      </c>
      <c r="O93" s="212"/>
      <c r="P93" s="211"/>
      <c r="Q93" s="212"/>
      <c r="R93" s="97" t="e">
        <f t="shared" ref="R93" si="85">P93/J93*100</f>
        <v>#DIV/0!</v>
      </c>
      <c r="S93" s="97">
        <f t="shared" ref="S93" si="86">P93/N93*100</f>
        <v>0</v>
      </c>
      <c r="T93" s="2"/>
    </row>
    <row r="94" spans="1:23" x14ac:dyDescent="0.25">
      <c r="A94" s="107"/>
      <c r="B94" s="101"/>
      <c r="C94" s="102"/>
      <c r="D94" s="120">
        <v>4227</v>
      </c>
      <c r="E94" s="7" t="s">
        <v>76</v>
      </c>
      <c r="F94" s="7"/>
      <c r="G94" s="7"/>
      <c r="H94" s="7"/>
      <c r="I94" s="14"/>
      <c r="J94" s="211">
        <v>1493.13</v>
      </c>
      <c r="K94" s="212"/>
      <c r="L94" s="211">
        <v>7000</v>
      </c>
      <c r="M94" s="212"/>
      <c r="N94" s="211">
        <v>7000</v>
      </c>
      <c r="O94" s="212"/>
      <c r="P94" s="211"/>
      <c r="Q94" s="212"/>
      <c r="R94" s="97">
        <f t="shared" si="81"/>
        <v>0</v>
      </c>
      <c r="S94" s="97">
        <f t="shared" si="82"/>
        <v>0</v>
      </c>
      <c r="T94" s="2"/>
    </row>
    <row r="95" spans="1:23" x14ac:dyDescent="0.25">
      <c r="A95" s="107"/>
      <c r="B95" s="101"/>
      <c r="C95" s="102">
        <v>424</v>
      </c>
      <c r="D95" s="120"/>
      <c r="E95" s="4" t="s">
        <v>77</v>
      </c>
      <c r="F95" s="4"/>
      <c r="G95" s="4"/>
      <c r="H95" s="4"/>
      <c r="I95" s="12"/>
      <c r="J95" s="213">
        <f t="shared" ref="J95" si="87">J96</f>
        <v>0</v>
      </c>
      <c r="K95" s="214"/>
      <c r="L95" s="213">
        <f t="shared" ref="L95:N95" si="88">L96</f>
        <v>2000</v>
      </c>
      <c r="M95" s="214"/>
      <c r="N95" s="213">
        <f t="shared" si="88"/>
        <v>2000</v>
      </c>
      <c r="O95" s="214"/>
      <c r="P95" s="213">
        <f t="shared" ref="P95" si="89">P96</f>
        <v>0</v>
      </c>
      <c r="Q95" s="214"/>
      <c r="R95" s="97" t="e">
        <f t="shared" si="81"/>
        <v>#DIV/0!</v>
      </c>
      <c r="S95" s="97">
        <f t="shared" si="82"/>
        <v>0</v>
      </c>
      <c r="T95" s="2"/>
    </row>
    <row r="96" spans="1:23" ht="15.75" thickBot="1" x14ac:dyDescent="0.3">
      <c r="A96" s="107"/>
      <c r="B96" s="101"/>
      <c r="C96" s="102"/>
      <c r="D96" s="120">
        <v>4241</v>
      </c>
      <c r="E96" s="7" t="s">
        <v>78</v>
      </c>
      <c r="F96" s="7"/>
      <c r="G96" s="7"/>
      <c r="H96" s="7"/>
      <c r="I96" s="14"/>
      <c r="J96" s="211"/>
      <c r="K96" s="212"/>
      <c r="L96" s="211">
        <v>2000</v>
      </c>
      <c r="M96" s="212"/>
      <c r="N96" s="211">
        <v>2000</v>
      </c>
      <c r="O96" s="212"/>
      <c r="P96" s="211"/>
      <c r="Q96" s="212"/>
      <c r="R96" s="97" t="e">
        <f t="shared" si="81"/>
        <v>#DIV/0!</v>
      </c>
      <c r="S96" s="97">
        <f t="shared" si="82"/>
        <v>0</v>
      </c>
      <c r="T96" s="2"/>
    </row>
    <row r="97" spans="1:23" ht="15.75" thickBot="1" x14ac:dyDescent="0.3">
      <c r="A97" s="197" t="s">
        <v>42</v>
      </c>
      <c r="B97" s="198"/>
      <c r="C97" s="198"/>
      <c r="D97" s="198"/>
      <c r="E97" s="198"/>
      <c r="F97" s="198"/>
      <c r="G97" s="198"/>
      <c r="H97" s="198"/>
      <c r="I97" s="199"/>
      <c r="J97" s="215">
        <f>J47+J89</f>
        <v>1075455.3699999999</v>
      </c>
      <c r="K97" s="215"/>
      <c r="L97" s="215">
        <f>L47+L89</f>
        <v>2368314.75</v>
      </c>
      <c r="M97" s="215"/>
      <c r="N97" s="215">
        <f>N47+N89</f>
        <v>2414431.6799999997</v>
      </c>
      <c r="O97" s="215"/>
      <c r="P97" s="215">
        <f>P47+P89</f>
        <v>1329699.3699999999</v>
      </c>
      <c r="Q97" s="215"/>
      <c r="R97" s="90">
        <f t="shared" ref="R97" si="90">P97/J97*100</f>
        <v>123.64059049702824</v>
      </c>
      <c r="S97" s="90">
        <f>P97/N97*100</f>
        <v>55.072975599790006</v>
      </c>
      <c r="T97" s="2"/>
    </row>
    <row r="98" spans="1:23" x14ac:dyDescent="0.25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3" x14ac:dyDescent="0.25">
      <c r="U99" s="2"/>
    </row>
    <row r="100" spans="1:23" x14ac:dyDescent="0.25">
      <c r="O100" s="25"/>
      <c r="U100" s="2"/>
      <c r="W100" s="25"/>
    </row>
    <row r="102" spans="1:23" x14ac:dyDescent="0.25">
      <c r="W102" s="25"/>
    </row>
  </sheetData>
  <customSheetViews>
    <customSheetView guid="{005C429F-8448-44DF-83AD-8A930973E873}">
      <selection activeCell="G12" sqref="G12:L12"/>
      <rowBreaks count="1" manualBreakCount="1">
        <brk id="57" max="16383" man="1"/>
      </rowBreaks>
      <pageMargins left="0.7" right="0.7" top="0.75" bottom="0.75" header="0.3" footer="0.3"/>
      <pageSetup paperSize="9" scale="71" orientation="portrait" r:id="rId1"/>
    </customSheetView>
  </customSheetViews>
  <mergeCells count="344">
    <mergeCell ref="N90:O90"/>
    <mergeCell ref="P90:Q90"/>
    <mergeCell ref="J91:K91"/>
    <mergeCell ref="N91:O91"/>
    <mergeCell ref="P91:Q91"/>
    <mergeCell ref="A5:S5"/>
    <mergeCell ref="A6:S6"/>
    <mergeCell ref="A7:S7"/>
    <mergeCell ref="N26:O26"/>
    <mergeCell ref="P26:Q26"/>
    <mergeCell ref="L86:M86"/>
    <mergeCell ref="L87:M87"/>
    <mergeCell ref="J86:K86"/>
    <mergeCell ref="N86:O86"/>
    <mergeCell ref="P86:Q86"/>
    <mergeCell ref="N48:O48"/>
    <mergeCell ref="P48:Q48"/>
    <mergeCell ref="J60:K60"/>
    <mergeCell ref="N60:O60"/>
    <mergeCell ref="P60:Q60"/>
    <mergeCell ref="J71:K71"/>
    <mergeCell ref="J87:K87"/>
    <mergeCell ref="N87:O87"/>
    <mergeCell ref="P87:Q87"/>
    <mergeCell ref="J96:K96"/>
    <mergeCell ref="N96:O96"/>
    <mergeCell ref="P96:Q96"/>
    <mergeCell ref="J94:K94"/>
    <mergeCell ref="N94:O94"/>
    <mergeCell ref="P94:Q94"/>
    <mergeCell ref="J95:K95"/>
    <mergeCell ref="N95:O95"/>
    <mergeCell ref="L88:M88"/>
    <mergeCell ref="N88:O88"/>
    <mergeCell ref="P88:Q88"/>
    <mergeCell ref="J89:K89"/>
    <mergeCell ref="N89:O89"/>
    <mergeCell ref="P89:Q89"/>
    <mergeCell ref="P95:Q95"/>
    <mergeCell ref="J88:K88"/>
    <mergeCell ref="J93:K93"/>
    <mergeCell ref="L93:M93"/>
    <mergeCell ref="N93:O93"/>
    <mergeCell ref="P93:Q93"/>
    <mergeCell ref="J92:K92"/>
    <mergeCell ref="N92:O92"/>
    <mergeCell ref="P92:Q92"/>
    <mergeCell ref="J90:K90"/>
    <mergeCell ref="P84:Q84"/>
    <mergeCell ref="L84:M84"/>
    <mergeCell ref="L85:M85"/>
    <mergeCell ref="R79:R80"/>
    <mergeCell ref="S79:S80"/>
    <mergeCell ref="J78:K78"/>
    <mergeCell ref="N78:O78"/>
    <mergeCell ref="P78:Q78"/>
    <mergeCell ref="J76:K76"/>
    <mergeCell ref="N76:O76"/>
    <mergeCell ref="P76:Q76"/>
    <mergeCell ref="J77:K77"/>
    <mergeCell ref="N77:O77"/>
    <mergeCell ref="J85:K85"/>
    <mergeCell ref="N85:O85"/>
    <mergeCell ref="P85:Q85"/>
    <mergeCell ref="J84:K84"/>
    <mergeCell ref="N84:O84"/>
    <mergeCell ref="N83:O83"/>
    <mergeCell ref="P83:Q83"/>
    <mergeCell ref="J81:K81"/>
    <mergeCell ref="N81:O81"/>
    <mergeCell ref="P81:Q81"/>
    <mergeCell ref="L81:M81"/>
    <mergeCell ref="L82:M82"/>
    <mergeCell ref="L83:M83"/>
    <mergeCell ref="P77:Q77"/>
    <mergeCell ref="J79:K80"/>
    <mergeCell ref="N79:O80"/>
    <mergeCell ref="P79:Q80"/>
    <mergeCell ref="J82:K82"/>
    <mergeCell ref="N82:O82"/>
    <mergeCell ref="P82:Q82"/>
    <mergeCell ref="J83:K83"/>
    <mergeCell ref="J75:K75"/>
    <mergeCell ref="N75:O75"/>
    <mergeCell ref="P75:Q75"/>
    <mergeCell ref="P73:Q73"/>
    <mergeCell ref="J69:K69"/>
    <mergeCell ref="N69:O69"/>
    <mergeCell ref="P69:Q69"/>
    <mergeCell ref="J70:K70"/>
    <mergeCell ref="N70:O70"/>
    <mergeCell ref="P70:Q70"/>
    <mergeCell ref="L70:M70"/>
    <mergeCell ref="N71:O71"/>
    <mergeCell ref="P71:Q71"/>
    <mergeCell ref="J72:K72"/>
    <mergeCell ref="N72:O72"/>
    <mergeCell ref="P72:Q72"/>
    <mergeCell ref="J73:K73"/>
    <mergeCell ref="N73:O73"/>
    <mergeCell ref="J74:K74"/>
    <mergeCell ref="N74:O74"/>
    <mergeCell ref="P74:Q74"/>
    <mergeCell ref="J67:K67"/>
    <mergeCell ref="N67:O67"/>
    <mergeCell ref="P67:Q67"/>
    <mergeCell ref="J68:K68"/>
    <mergeCell ref="N68:O68"/>
    <mergeCell ref="P68:Q68"/>
    <mergeCell ref="L67:M67"/>
    <mergeCell ref="L68:M68"/>
    <mergeCell ref="L69:M69"/>
    <mergeCell ref="J65:K65"/>
    <mergeCell ref="N65:O65"/>
    <mergeCell ref="P65:Q65"/>
    <mergeCell ref="J66:K66"/>
    <mergeCell ref="N66:O66"/>
    <mergeCell ref="P66:Q66"/>
    <mergeCell ref="J63:K63"/>
    <mergeCell ref="N63:O63"/>
    <mergeCell ref="P63:Q63"/>
    <mergeCell ref="J64:K64"/>
    <mergeCell ref="N64:O64"/>
    <mergeCell ref="P64:Q64"/>
    <mergeCell ref="L63:M63"/>
    <mergeCell ref="L64:M64"/>
    <mergeCell ref="L65:M65"/>
    <mergeCell ref="L66:M66"/>
    <mergeCell ref="J61:K61"/>
    <mergeCell ref="N61:O61"/>
    <mergeCell ref="P61:Q61"/>
    <mergeCell ref="J62:K62"/>
    <mergeCell ref="N62:O62"/>
    <mergeCell ref="P62:Q62"/>
    <mergeCell ref="J58:K58"/>
    <mergeCell ref="N58:O58"/>
    <mergeCell ref="P58:Q58"/>
    <mergeCell ref="J59:K59"/>
    <mergeCell ref="N59:O59"/>
    <mergeCell ref="P59:Q59"/>
    <mergeCell ref="L60:M60"/>
    <mergeCell ref="L61:M61"/>
    <mergeCell ref="L62:M62"/>
    <mergeCell ref="L58:M58"/>
    <mergeCell ref="L59:M59"/>
    <mergeCell ref="J57:K57"/>
    <mergeCell ref="N57:O57"/>
    <mergeCell ref="P57:Q57"/>
    <mergeCell ref="J54:K54"/>
    <mergeCell ref="N54:O54"/>
    <mergeCell ref="P54:Q54"/>
    <mergeCell ref="J55:K55"/>
    <mergeCell ref="N55:O55"/>
    <mergeCell ref="P55:Q55"/>
    <mergeCell ref="L54:M54"/>
    <mergeCell ref="L55:M55"/>
    <mergeCell ref="L56:M56"/>
    <mergeCell ref="L57:M57"/>
    <mergeCell ref="J97:K97"/>
    <mergeCell ref="N97:O97"/>
    <mergeCell ref="P97:Q97"/>
    <mergeCell ref="J48:K48"/>
    <mergeCell ref="J49:K49"/>
    <mergeCell ref="N49:O49"/>
    <mergeCell ref="P49:Q49"/>
    <mergeCell ref="E79:I80"/>
    <mergeCell ref="J50:K50"/>
    <mergeCell ref="N50:O50"/>
    <mergeCell ref="P50:Q50"/>
    <mergeCell ref="J51:K51"/>
    <mergeCell ref="N51:O51"/>
    <mergeCell ref="P51:Q51"/>
    <mergeCell ref="J52:K52"/>
    <mergeCell ref="N52:O52"/>
    <mergeCell ref="P52:Q52"/>
    <mergeCell ref="J53:K53"/>
    <mergeCell ref="N53:O53"/>
    <mergeCell ref="P53:Q53"/>
    <mergeCell ref="E89:I89"/>
    <mergeCell ref="J56:K56"/>
    <mergeCell ref="N56:O56"/>
    <mergeCell ref="P56:Q56"/>
    <mergeCell ref="S28:S29"/>
    <mergeCell ref="S32:S33"/>
    <mergeCell ref="R28:R29"/>
    <mergeCell ref="N43:O43"/>
    <mergeCell ref="P43:Q43"/>
    <mergeCell ref="N35:O36"/>
    <mergeCell ref="P35:Q36"/>
    <mergeCell ref="N37:O38"/>
    <mergeCell ref="P37:Q38"/>
    <mergeCell ref="N32:O33"/>
    <mergeCell ref="S35:S36"/>
    <mergeCell ref="S37:S38"/>
    <mergeCell ref="S39:S40"/>
    <mergeCell ref="J45:K45"/>
    <mergeCell ref="N45:O45"/>
    <mergeCell ref="P45:Q45"/>
    <mergeCell ref="R35:R36"/>
    <mergeCell ref="R37:R38"/>
    <mergeCell ref="R39:R40"/>
    <mergeCell ref="R32:R33"/>
    <mergeCell ref="N30:O30"/>
    <mergeCell ref="P30:Q30"/>
    <mergeCell ref="N31:O31"/>
    <mergeCell ref="P31:Q31"/>
    <mergeCell ref="P13:Q13"/>
    <mergeCell ref="R14:R15"/>
    <mergeCell ref="N27:O27"/>
    <mergeCell ref="E47:I47"/>
    <mergeCell ref="J47:K47"/>
    <mergeCell ref="N47:O47"/>
    <mergeCell ref="P47:Q47"/>
    <mergeCell ref="S14:S15"/>
    <mergeCell ref="R16:R17"/>
    <mergeCell ref="R18:R19"/>
    <mergeCell ref="R20:R21"/>
    <mergeCell ref="R24:R25"/>
    <mergeCell ref="N13:O13"/>
    <mergeCell ref="S16:S17"/>
    <mergeCell ref="S18:S19"/>
    <mergeCell ref="S20:S21"/>
    <mergeCell ref="S24:S25"/>
    <mergeCell ref="N24:O25"/>
    <mergeCell ref="P24:Q25"/>
    <mergeCell ref="N44:O44"/>
    <mergeCell ref="P44:Q44"/>
    <mergeCell ref="N41:O41"/>
    <mergeCell ref="P41:Q41"/>
    <mergeCell ref="N42:O42"/>
    <mergeCell ref="P42:Q42"/>
    <mergeCell ref="N39:O40"/>
    <mergeCell ref="P39:Q40"/>
    <mergeCell ref="N11:O11"/>
    <mergeCell ref="P11:Q11"/>
    <mergeCell ref="P32:Q33"/>
    <mergeCell ref="N34:O34"/>
    <mergeCell ref="P34:Q34"/>
    <mergeCell ref="J32:K33"/>
    <mergeCell ref="J13:K13"/>
    <mergeCell ref="J9:K10"/>
    <mergeCell ref="N9:O10"/>
    <mergeCell ref="P9:Q10"/>
    <mergeCell ref="J34:K34"/>
    <mergeCell ref="J41:K41"/>
    <mergeCell ref="J42:K42"/>
    <mergeCell ref="J43:K43"/>
    <mergeCell ref="N18:O19"/>
    <mergeCell ref="P18:Q19"/>
    <mergeCell ref="N20:O21"/>
    <mergeCell ref="P20:Q21"/>
    <mergeCell ref="N16:O17"/>
    <mergeCell ref="P16:Q17"/>
    <mergeCell ref="N14:O15"/>
    <mergeCell ref="P14:Q15"/>
    <mergeCell ref="P27:Q27"/>
    <mergeCell ref="N28:O29"/>
    <mergeCell ref="P28:Q29"/>
    <mergeCell ref="N22:O22"/>
    <mergeCell ref="P22:Q22"/>
    <mergeCell ref="N23:O23"/>
    <mergeCell ref="P23:Q23"/>
    <mergeCell ref="E28:I29"/>
    <mergeCell ref="E24:I25"/>
    <mergeCell ref="E13:I13"/>
    <mergeCell ref="E14:I15"/>
    <mergeCell ref="E16:I17"/>
    <mergeCell ref="E18:I19"/>
    <mergeCell ref="E20:I21"/>
    <mergeCell ref="J44:K44"/>
    <mergeCell ref="J11:K11"/>
    <mergeCell ref="J14:K15"/>
    <mergeCell ref="J35:K36"/>
    <mergeCell ref="J37:K38"/>
    <mergeCell ref="J39:K40"/>
    <mergeCell ref="J22:K22"/>
    <mergeCell ref="J23:K23"/>
    <mergeCell ref="J26:K26"/>
    <mergeCell ref="J27:K27"/>
    <mergeCell ref="J30:K30"/>
    <mergeCell ref="J31:K31"/>
    <mergeCell ref="J16:K17"/>
    <mergeCell ref="J18:K19"/>
    <mergeCell ref="J20:K21"/>
    <mergeCell ref="J24:K25"/>
    <mergeCell ref="J28:K29"/>
    <mergeCell ref="E37:I38"/>
    <mergeCell ref="E39:I40"/>
    <mergeCell ref="L22:M22"/>
    <mergeCell ref="L23:M23"/>
    <mergeCell ref="L24:M25"/>
    <mergeCell ref="L26:M26"/>
    <mergeCell ref="L27:M27"/>
    <mergeCell ref="L9:M10"/>
    <mergeCell ref="L11:M11"/>
    <mergeCell ref="L13:M13"/>
    <mergeCell ref="L14:M15"/>
    <mergeCell ref="L16:M17"/>
    <mergeCell ref="L18:M19"/>
    <mergeCell ref="L20:M21"/>
    <mergeCell ref="L28:M29"/>
    <mergeCell ref="L30:M30"/>
    <mergeCell ref="L31:M31"/>
    <mergeCell ref="L32:M33"/>
    <mergeCell ref="L34:M34"/>
    <mergeCell ref="L35:M36"/>
    <mergeCell ref="L37:M38"/>
    <mergeCell ref="L39:M40"/>
    <mergeCell ref="E35:I36"/>
    <mergeCell ref="E32:I33"/>
    <mergeCell ref="L53:M53"/>
    <mergeCell ref="L41:M41"/>
    <mergeCell ref="L42:M42"/>
    <mergeCell ref="L43:M43"/>
    <mergeCell ref="L44:M44"/>
    <mergeCell ref="L45:M45"/>
    <mergeCell ref="L47:M47"/>
    <mergeCell ref="L48:M48"/>
    <mergeCell ref="L49:M49"/>
    <mergeCell ref="L50:M50"/>
    <mergeCell ref="A97:I97"/>
    <mergeCell ref="A9:I10"/>
    <mergeCell ref="A11:I11"/>
    <mergeCell ref="A12:I12"/>
    <mergeCell ref="A45:I45"/>
    <mergeCell ref="L94:M94"/>
    <mergeCell ref="L95:M95"/>
    <mergeCell ref="L96:M96"/>
    <mergeCell ref="L97:M97"/>
    <mergeCell ref="L89:M89"/>
    <mergeCell ref="L90:M90"/>
    <mergeCell ref="L91:M91"/>
    <mergeCell ref="L92:M92"/>
    <mergeCell ref="L71:M71"/>
    <mergeCell ref="L72:M72"/>
    <mergeCell ref="L73:M73"/>
    <mergeCell ref="L74:M74"/>
    <mergeCell ref="L75:M75"/>
    <mergeCell ref="L76:M76"/>
    <mergeCell ref="L77:M77"/>
    <mergeCell ref="L78:M78"/>
    <mergeCell ref="L79:M80"/>
    <mergeCell ref="L51:M51"/>
    <mergeCell ref="L52:M52"/>
  </mergeCells>
  <pageMargins left="0.7" right="0.7" top="0.75" bottom="0.75" header="0.3" footer="0.3"/>
  <pageSetup paperSize="9" scale="51" orientation="portrait" verticalDpi="300" r:id="rId2"/>
  <rowBreaks count="1" manualBreakCount="1">
    <brk id="46" max="18" man="1"/>
  </rowBreaks>
  <ignoredErrors>
    <ignoredError sqref="L51:M51 N51:O51 N52:O52 N50:O50" formula="1"/>
    <ignoredError sqref="R58:S71 R17:R19 R16 S17:S23 S14:S15 S16 R28:R40 S28:S40 S97 R47:S47 R49:R54 S56:S57 R94:S96 S13 R26:S27 S45 R22:R23 R85:S92 R41:R44 S41:S44 S24:S25 R24:R25 R73:S84 S72 R93:S9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workbookViewId="0"/>
  </sheetViews>
  <sheetFormatPr defaultRowHeight="15" x14ac:dyDescent="0.25"/>
  <cols>
    <col min="1" max="14" width="8.85546875" customWidth="1"/>
    <col min="16" max="16" width="12.7109375" bestFit="1" customWidth="1"/>
    <col min="17" max="17" width="11.7109375" bestFit="1" customWidth="1"/>
    <col min="18" max="18" width="10.140625" bestFit="1" customWidth="1"/>
  </cols>
  <sheetData>
    <row r="1" spans="1:18" x14ac:dyDescent="0.25">
      <c r="A1" s="1" t="s">
        <v>14</v>
      </c>
    </row>
    <row r="2" spans="1:18" x14ac:dyDescent="0.25">
      <c r="A2" t="s">
        <v>12</v>
      </c>
    </row>
    <row r="3" spans="1:18" x14ac:dyDescent="0.25">
      <c r="A3" t="s">
        <v>13</v>
      </c>
    </row>
    <row r="5" spans="1:18" x14ac:dyDescent="0.25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</row>
    <row r="6" spans="1:18" x14ac:dyDescent="0.25">
      <c r="A6" s="150" t="s">
        <v>144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62"/>
      <c r="P6" s="62"/>
    </row>
    <row r="7" spans="1:18" x14ac:dyDescent="0.25">
      <c r="A7" s="150" t="s">
        <v>146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spans="1:18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8" ht="15.75" thickBot="1" x14ac:dyDescent="0.3">
      <c r="A9" s="1" t="s">
        <v>117</v>
      </c>
    </row>
    <row r="10" spans="1:18" ht="15" customHeight="1" x14ac:dyDescent="0.25">
      <c r="A10" s="286" t="s">
        <v>134</v>
      </c>
      <c r="B10" s="287"/>
      <c r="C10" s="287"/>
      <c r="D10" s="287"/>
      <c r="E10" s="151" t="s">
        <v>161</v>
      </c>
      <c r="F10" s="152"/>
      <c r="G10" s="151" t="s">
        <v>173</v>
      </c>
      <c r="H10" s="152"/>
      <c r="I10" s="151" t="s">
        <v>177</v>
      </c>
      <c r="J10" s="152"/>
      <c r="K10" s="151" t="s">
        <v>178</v>
      </c>
      <c r="L10" s="152"/>
      <c r="M10" s="18" t="s">
        <v>39</v>
      </c>
      <c r="N10" s="18" t="s">
        <v>39</v>
      </c>
    </row>
    <row r="11" spans="1:18" x14ac:dyDescent="0.25">
      <c r="A11" s="26" t="s">
        <v>118</v>
      </c>
      <c r="B11" s="288" t="s">
        <v>119</v>
      </c>
      <c r="C11" s="288"/>
      <c r="D11" s="288"/>
      <c r="E11" s="153"/>
      <c r="F11" s="154"/>
      <c r="G11" s="153"/>
      <c r="H11" s="154"/>
      <c r="I11" s="153"/>
      <c r="J11" s="154"/>
      <c r="K11" s="153"/>
      <c r="L11" s="154"/>
      <c r="M11" s="21" t="s">
        <v>123</v>
      </c>
      <c r="N11" s="19" t="s">
        <v>124</v>
      </c>
    </row>
    <row r="12" spans="1:18" ht="15.75" thickBot="1" x14ac:dyDescent="0.3">
      <c r="A12" s="202">
        <v>1</v>
      </c>
      <c r="B12" s="203"/>
      <c r="C12" s="203"/>
      <c r="D12" s="203"/>
      <c r="E12" s="202">
        <v>2</v>
      </c>
      <c r="F12" s="203"/>
      <c r="G12" s="202">
        <v>3</v>
      </c>
      <c r="H12" s="203"/>
      <c r="I12" s="202">
        <v>4</v>
      </c>
      <c r="J12" s="203"/>
      <c r="K12" s="202">
        <v>5</v>
      </c>
      <c r="L12" s="203"/>
      <c r="M12" s="20">
        <v>6</v>
      </c>
      <c r="N12" s="20">
        <v>7</v>
      </c>
    </row>
    <row r="13" spans="1:18" x14ac:dyDescent="0.25">
      <c r="A13" s="67">
        <v>1</v>
      </c>
      <c r="B13" s="68" t="s">
        <v>108</v>
      </c>
      <c r="C13" s="68"/>
      <c r="D13" s="68"/>
      <c r="E13" s="289">
        <f t="shared" ref="E13" si="0">E14+E15+E16</f>
        <v>22379.63</v>
      </c>
      <c r="F13" s="290"/>
      <c r="G13" s="289">
        <f t="shared" ref="G13" si="1">G14+G15+G16</f>
        <v>0</v>
      </c>
      <c r="H13" s="290"/>
      <c r="I13" s="289">
        <f t="shared" ref="I13" si="2">I14+I15+I16</f>
        <v>29883.93</v>
      </c>
      <c r="J13" s="290"/>
      <c r="K13" s="289">
        <f t="shared" ref="K13" si="3">K14+K15+K16</f>
        <v>21487.730000000003</v>
      </c>
      <c r="L13" s="290"/>
      <c r="M13" s="36">
        <f>K13/E13*100</f>
        <v>96.014679420526633</v>
      </c>
      <c r="N13" s="36">
        <f>K13/I13*100</f>
        <v>71.903963099900196</v>
      </c>
    </row>
    <row r="14" spans="1:18" x14ac:dyDescent="0.25">
      <c r="A14" s="11">
        <v>11</v>
      </c>
      <c r="B14" s="4" t="s">
        <v>108</v>
      </c>
      <c r="C14" s="4"/>
      <c r="D14" s="4"/>
      <c r="E14" s="176">
        <v>19607.28</v>
      </c>
      <c r="F14" s="177"/>
      <c r="G14" s="176"/>
      <c r="H14" s="177"/>
      <c r="I14" s="176">
        <v>10021.69</v>
      </c>
      <c r="J14" s="177"/>
      <c r="K14" s="176">
        <f>730.02+5214+500+860.33+1008.96</f>
        <v>8313.3100000000013</v>
      </c>
      <c r="L14" s="177"/>
      <c r="M14" s="37">
        <f>K14/E14*100</f>
        <v>42.399098702114735</v>
      </c>
      <c r="N14" s="37">
        <f>K14/I14*100</f>
        <v>82.953174564369888</v>
      </c>
      <c r="P14" s="25"/>
      <c r="Q14" s="25"/>
      <c r="R14" s="25"/>
    </row>
    <row r="15" spans="1:18" x14ac:dyDescent="0.25">
      <c r="A15" s="11">
        <v>12</v>
      </c>
      <c r="B15" s="4" t="s">
        <v>109</v>
      </c>
      <c r="C15" s="4"/>
      <c r="D15" s="4"/>
      <c r="E15" s="176">
        <f>309.29+1874.47</f>
        <v>2183.7600000000002</v>
      </c>
      <c r="F15" s="177"/>
      <c r="G15" s="176"/>
      <c r="H15" s="177"/>
      <c r="I15" s="176">
        <v>15568.62</v>
      </c>
      <c r="J15" s="177"/>
      <c r="K15" s="176">
        <f>11308.5+1865.92</f>
        <v>13174.42</v>
      </c>
      <c r="L15" s="177"/>
      <c r="M15" s="37">
        <f>K15/E15*100</f>
        <v>603.29065465069414</v>
      </c>
      <c r="N15" s="37">
        <f>K15/I15*100</f>
        <v>84.621629919671747</v>
      </c>
      <c r="P15" s="25"/>
      <c r="Q15" s="25"/>
      <c r="R15" s="25"/>
    </row>
    <row r="16" spans="1:18" x14ac:dyDescent="0.25">
      <c r="A16" s="11">
        <v>19</v>
      </c>
      <c r="B16" s="4" t="s">
        <v>110</v>
      </c>
      <c r="C16" s="4"/>
      <c r="D16" s="4"/>
      <c r="E16" s="176">
        <v>588.59</v>
      </c>
      <c r="F16" s="177"/>
      <c r="G16" s="176"/>
      <c r="H16" s="177"/>
      <c r="I16" s="176">
        <v>4293.62</v>
      </c>
      <c r="J16" s="177"/>
      <c r="K16" s="176"/>
      <c r="L16" s="177"/>
      <c r="M16" s="37">
        <f t="shared" ref="M16:M25" si="4">K16/E16*100</f>
        <v>0</v>
      </c>
      <c r="N16" s="37">
        <f>K16/I16*100</f>
        <v>0</v>
      </c>
      <c r="P16" s="25"/>
      <c r="Q16" s="25"/>
      <c r="R16" s="25"/>
    </row>
    <row r="17" spans="1:18" x14ac:dyDescent="0.25">
      <c r="A17" s="16">
        <v>3</v>
      </c>
      <c r="B17" s="5" t="s">
        <v>151</v>
      </c>
      <c r="C17" s="5"/>
      <c r="D17" s="5"/>
      <c r="E17" s="282">
        <f t="shared" ref="E17" si="5">E18</f>
        <v>2392.4</v>
      </c>
      <c r="F17" s="283"/>
      <c r="G17" s="282">
        <f>G18</f>
        <v>7000</v>
      </c>
      <c r="H17" s="283"/>
      <c r="I17" s="282">
        <f t="shared" ref="I17" si="6">I18</f>
        <v>7000</v>
      </c>
      <c r="J17" s="283"/>
      <c r="K17" s="282">
        <f t="shared" ref="K17" si="7">K18</f>
        <v>10371.32</v>
      </c>
      <c r="L17" s="283"/>
      <c r="M17" s="36">
        <f t="shared" ref="M17" si="8">K17/E17*100</f>
        <v>433.51111854204981</v>
      </c>
      <c r="N17" s="36">
        <f t="shared" ref="N17" si="9">K17/I17*100</f>
        <v>148.16171428571428</v>
      </c>
      <c r="P17" s="25"/>
      <c r="Q17" s="25"/>
      <c r="R17" s="25"/>
    </row>
    <row r="18" spans="1:18" x14ac:dyDescent="0.25">
      <c r="A18" s="11">
        <v>31</v>
      </c>
      <c r="B18" s="4" t="s">
        <v>111</v>
      </c>
      <c r="C18" s="4"/>
      <c r="D18" s="4"/>
      <c r="E18" s="176">
        <v>2392.4</v>
      </c>
      <c r="F18" s="177"/>
      <c r="G18" s="176">
        <v>7000</v>
      </c>
      <c r="H18" s="177"/>
      <c r="I18" s="176">
        <v>7000</v>
      </c>
      <c r="J18" s="177"/>
      <c r="K18" s="176">
        <v>10371.32</v>
      </c>
      <c r="L18" s="177"/>
      <c r="M18" s="37">
        <f t="shared" si="4"/>
        <v>433.51111854204981</v>
      </c>
      <c r="N18" s="37">
        <f t="shared" ref="N18:N28" si="10">K18/I18*100</f>
        <v>148.16171428571428</v>
      </c>
      <c r="P18" s="25"/>
    </row>
    <row r="19" spans="1:18" x14ac:dyDescent="0.25">
      <c r="A19" s="16">
        <v>4</v>
      </c>
      <c r="B19" s="5" t="s">
        <v>106</v>
      </c>
      <c r="C19" s="5"/>
      <c r="D19" s="5"/>
      <c r="E19" s="282">
        <f t="shared" ref="E19" si="11">E20+E21+E22</f>
        <v>96887.74</v>
      </c>
      <c r="F19" s="283"/>
      <c r="G19" s="282">
        <f t="shared" ref="G19" si="12">G20+G21+G22</f>
        <v>181864.75</v>
      </c>
      <c r="H19" s="283"/>
      <c r="I19" s="282">
        <f t="shared" ref="I19" si="13">I20+I21+I22</f>
        <v>196817.75</v>
      </c>
      <c r="J19" s="283"/>
      <c r="K19" s="282">
        <f t="shared" ref="K19" si="14">K20+K21+K22</f>
        <v>158465.69</v>
      </c>
      <c r="L19" s="283"/>
      <c r="M19" s="36">
        <f t="shared" ref="M19" si="15">K19/E19*100</f>
        <v>163.5559772578037</v>
      </c>
      <c r="N19" s="36">
        <f t="shared" ref="N19" si="16">K19/I19*100</f>
        <v>80.513922143709095</v>
      </c>
      <c r="P19" s="25"/>
    </row>
    <row r="20" spans="1:18" x14ac:dyDescent="0.25">
      <c r="A20" s="11">
        <v>41</v>
      </c>
      <c r="B20" s="4" t="s">
        <v>106</v>
      </c>
      <c r="C20" s="4"/>
      <c r="D20" s="4"/>
      <c r="E20" s="176">
        <v>911</v>
      </c>
      <c r="F20" s="177"/>
      <c r="G20" s="176">
        <v>1000</v>
      </c>
      <c r="H20" s="177"/>
      <c r="I20" s="176">
        <v>1000</v>
      </c>
      <c r="J20" s="177"/>
      <c r="K20" s="176">
        <v>715</v>
      </c>
      <c r="L20" s="177"/>
      <c r="M20" s="37">
        <f t="shared" si="4"/>
        <v>78.485181119648743</v>
      </c>
      <c r="N20" s="37">
        <f t="shared" si="10"/>
        <v>71.5</v>
      </c>
      <c r="P20" s="25"/>
      <c r="Q20" s="25"/>
      <c r="R20" s="25"/>
    </row>
    <row r="21" spans="1:18" x14ac:dyDescent="0.25">
      <c r="A21" s="11">
        <v>42</v>
      </c>
      <c r="B21" s="4" t="s">
        <v>112</v>
      </c>
      <c r="C21" s="4"/>
      <c r="D21" s="4"/>
      <c r="E21" s="176">
        <v>15497.11</v>
      </c>
      <c r="F21" s="177"/>
      <c r="G21" s="176">
        <v>20000</v>
      </c>
      <c r="H21" s="177"/>
      <c r="I21" s="176">
        <v>20000</v>
      </c>
      <c r="J21" s="177"/>
      <c r="K21" s="176">
        <v>48676.31</v>
      </c>
      <c r="L21" s="177"/>
      <c r="M21" s="37">
        <f t="shared" si="4"/>
        <v>314.09927399366717</v>
      </c>
      <c r="N21" s="37">
        <f t="shared" si="10"/>
        <v>243.38154999999998</v>
      </c>
      <c r="P21" s="25"/>
      <c r="Q21" s="25"/>
      <c r="R21" s="25"/>
    </row>
    <row r="22" spans="1:18" x14ac:dyDescent="0.25">
      <c r="A22" s="11">
        <v>45</v>
      </c>
      <c r="B22" s="4" t="s">
        <v>113</v>
      </c>
      <c r="C22" s="4"/>
      <c r="D22" s="4"/>
      <c r="E22" s="176">
        <v>80479.63</v>
      </c>
      <c r="F22" s="177"/>
      <c r="G22" s="176">
        <v>160864.75</v>
      </c>
      <c r="H22" s="177"/>
      <c r="I22" s="176">
        <v>175817.75</v>
      </c>
      <c r="J22" s="177"/>
      <c r="K22" s="176">
        <v>109074.38</v>
      </c>
      <c r="L22" s="177"/>
      <c r="M22" s="37">
        <f t="shared" si="4"/>
        <v>135.53041931231542</v>
      </c>
      <c r="N22" s="37">
        <f t="shared" si="10"/>
        <v>62.038320931760303</v>
      </c>
      <c r="P22" s="25"/>
    </row>
    <row r="23" spans="1:18" x14ac:dyDescent="0.25">
      <c r="A23" s="16">
        <v>5</v>
      </c>
      <c r="B23" s="5" t="s">
        <v>152</v>
      </c>
      <c r="C23" s="5"/>
      <c r="D23" s="5"/>
      <c r="E23" s="282">
        <f>E24+E25</f>
        <v>972190.4</v>
      </c>
      <c r="F23" s="283"/>
      <c r="G23" s="282">
        <f>G24+G25</f>
        <v>2175450</v>
      </c>
      <c r="H23" s="283"/>
      <c r="I23" s="282">
        <f>I24+I25</f>
        <v>2176730</v>
      </c>
      <c r="J23" s="283"/>
      <c r="K23" s="282">
        <f>K24+K25</f>
        <v>1022860.74</v>
      </c>
      <c r="L23" s="283"/>
      <c r="M23" s="36">
        <f t="shared" ref="M23" si="17">K23/E23*100</f>
        <v>105.21197699545274</v>
      </c>
      <c r="N23" s="36">
        <f t="shared" ref="N23" si="18">K23/I23*100</f>
        <v>46.990703486422291</v>
      </c>
      <c r="P23" s="25"/>
    </row>
    <row r="24" spans="1:18" x14ac:dyDescent="0.25">
      <c r="A24" s="11">
        <v>51</v>
      </c>
      <c r="B24" s="4" t="s">
        <v>114</v>
      </c>
      <c r="C24" s="4"/>
      <c r="D24" s="4"/>
      <c r="E24" s="176">
        <v>966684.4</v>
      </c>
      <c r="F24" s="177"/>
      <c r="G24" s="176">
        <f>2152200+23250</f>
        <v>2175450</v>
      </c>
      <c r="H24" s="177"/>
      <c r="I24" s="176">
        <v>2176730</v>
      </c>
      <c r="J24" s="177"/>
      <c r="K24" s="176">
        <f>1006003.98+4319.36+980+11557.4</f>
        <v>1022860.74</v>
      </c>
      <c r="L24" s="177"/>
      <c r="M24" s="37">
        <f t="shared" si="4"/>
        <v>105.8112389110655</v>
      </c>
      <c r="N24" s="37">
        <f t="shared" si="10"/>
        <v>46.990703486422291</v>
      </c>
      <c r="P24" s="25"/>
      <c r="Q24" s="25"/>
      <c r="R24" s="25"/>
    </row>
    <row r="25" spans="1:18" x14ac:dyDescent="0.25">
      <c r="A25" s="11">
        <v>54</v>
      </c>
      <c r="B25" s="4" t="s">
        <v>115</v>
      </c>
      <c r="C25" s="4"/>
      <c r="D25" s="4"/>
      <c r="E25" s="176">
        <v>5506</v>
      </c>
      <c r="F25" s="177"/>
      <c r="G25" s="176"/>
      <c r="H25" s="177"/>
      <c r="I25" s="176"/>
      <c r="J25" s="177"/>
      <c r="K25" s="176"/>
      <c r="L25" s="177"/>
      <c r="M25" s="37">
        <f t="shared" si="4"/>
        <v>0</v>
      </c>
      <c r="N25" s="37" t="e">
        <f t="shared" si="10"/>
        <v>#DIV/0!</v>
      </c>
      <c r="P25" s="25"/>
      <c r="Q25" s="25"/>
    </row>
    <row r="26" spans="1:18" x14ac:dyDescent="0.25">
      <c r="A26" s="9">
        <v>6</v>
      </c>
      <c r="B26" s="70" t="s">
        <v>153</v>
      </c>
      <c r="C26" s="70"/>
      <c r="D26" s="70"/>
      <c r="E26" s="282">
        <f t="shared" ref="E26" si="19">E27</f>
        <v>6522</v>
      </c>
      <c r="F26" s="283"/>
      <c r="G26" s="282">
        <f t="shared" ref="G26" si="20">G27</f>
        <v>4000</v>
      </c>
      <c r="H26" s="283"/>
      <c r="I26" s="282">
        <f t="shared" ref="I26" si="21">I27</f>
        <v>4000</v>
      </c>
      <c r="J26" s="283"/>
      <c r="K26" s="282">
        <f t="shared" ref="K26" si="22">K27</f>
        <v>0</v>
      </c>
      <c r="L26" s="283"/>
      <c r="M26" s="36">
        <f>K26/E26*100</f>
        <v>0</v>
      </c>
      <c r="N26" s="36">
        <f t="shared" ref="N26" si="23">K26/I26*100</f>
        <v>0</v>
      </c>
      <c r="P26" s="25"/>
      <c r="Q26" s="25"/>
    </row>
    <row r="27" spans="1:18" ht="15.75" thickBot="1" x14ac:dyDescent="0.3">
      <c r="A27" s="27">
        <v>61</v>
      </c>
      <c r="B27" s="28" t="s">
        <v>116</v>
      </c>
      <c r="C27" s="28"/>
      <c r="D27" s="28"/>
      <c r="E27" s="176">
        <v>6522</v>
      </c>
      <c r="F27" s="177"/>
      <c r="G27" s="278">
        <v>4000</v>
      </c>
      <c r="H27" s="279"/>
      <c r="I27" s="278">
        <v>4000</v>
      </c>
      <c r="J27" s="279"/>
      <c r="K27" s="176"/>
      <c r="L27" s="177"/>
      <c r="M27" s="37">
        <f>K27/E27*100</f>
        <v>0</v>
      </c>
      <c r="N27" s="37">
        <f t="shared" si="10"/>
        <v>0</v>
      </c>
      <c r="P27" s="25"/>
      <c r="Q27" s="25"/>
    </row>
    <row r="28" spans="1:18" ht="15.75" thickBot="1" x14ac:dyDescent="0.3">
      <c r="A28" s="281" t="s">
        <v>107</v>
      </c>
      <c r="B28" s="281"/>
      <c r="C28" s="281"/>
      <c r="D28" s="281"/>
      <c r="E28" s="276">
        <f>SUM(E13+E17+E19+E23+E26)</f>
        <v>1100372.17</v>
      </c>
      <c r="F28" s="280"/>
      <c r="G28" s="276">
        <f>SUM(G13+G17+G19+G23+G26)</f>
        <v>2368314.75</v>
      </c>
      <c r="H28" s="280"/>
      <c r="I28" s="276">
        <f>SUM(I13+I17+I19+I23+I26)</f>
        <v>2414431.6800000002</v>
      </c>
      <c r="J28" s="280"/>
      <c r="K28" s="276">
        <f>SUM(K13+K17+K19+K23+K26)</f>
        <v>1213185.48</v>
      </c>
      <c r="L28" s="280"/>
      <c r="M28" s="43">
        <f>K28/E28*100</f>
        <v>110.2522867331332</v>
      </c>
      <c r="N28" s="43">
        <f t="shared" si="10"/>
        <v>50.247248246842076</v>
      </c>
    </row>
    <row r="29" spans="1:18" x14ac:dyDescent="0.25">
      <c r="E29" s="74"/>
      <c r="F29" s="74"/>
      <c r="P29" s="25"/>
    </row>
    <row r="30" spans="1:18" ht="15.75" thickBot="1" x14ac:dyDescent="0.3">
      <c r="A30" s="1" t="s">
        <v>155</v>
      </c>
      <c r="E30" s="74"/>
      <c r="F30" s="74"/>
      <c r="Q30" s="25"/>
      <c r="R30" s="25"/>
    </row>
    <row r="31" spans="1:18" ht="15" customHeight="1" x14ac:dyDescent="0.25">
      <c r="A31" s="286" t="s">
        <v>134</v>
      </c>
      <c r="B31" s="287"/>
      <c r="C31" s="287"/>
      <c r="D31" s="287"/>
      <c r="E31" s="151" t="s">
        <v>161</v>
      </c>
      <c r="F31" s="152"/>
      <c r="G31" s="151" t="s">
        <v>173</v>
      </c>
      <c r="H31" s="152"/>
      <c r="I31" s="151" t="s">
        <v>177</v>
      </c>
      <c r="J31" s="152"/>
      <c r="K31" s="151" t="s">
        <v>178</v>
      </c>
      <c r="L31" s="152"/>
      <c r="M31" s="18" t="s">
        <v>39</v>
      </c>
      <c r="N31" s="18" t="s">
        <v>39</v>
      </c>
    </row>
    <row r="32" spans="1:18" x14ac:dyDescent="0.25">
      <c r="A32" s="26" t="s">
        <v>118</v>
      </c>
      <c r="B32" s="288" t="s">
        <v>119</v>
      </c>
      <c r="C32" s="288"/>
      <c r="D32" s="288"/>
      <c r="E32" s="153"/>
      <c r="F32" s="154"/>
      <c r="G32" s="153"/>
      <c r="H32" s="154"/>
      <c r="I32" s="153"/>
      <c r="J32" s="154"/>
      <c r="K32" s="153"/>
      <c r="L32" s="154"/>
      <c r="M32" s="21" t="s">
        <v>123</v>
      </c>
      <c r="N32" s="19" t="s">
        <v>124</v>
      </c>
      <c r="P32" s="25"/>
    </row>
    <row r="33" spans="1:16" ht="15.75" thickBot="1" x14ac:dyDescent="0.3">
      <c r="A33" s="202">
        <v>1</v>
      </c>
      <c r="B33" s="203"/>
      <c r="C33" s="203"/>
      <c r="D33" s="203"/>
      <c r="E33" s="202">
        <v>2</v>
      </c>
      <c r="F33" s="203"/>
      <c r="G33" s="202">
        <v>3</v>
      </c>
      <c r="H33" s="203"/>
      <c r="I33" s="202">
        <v>4</v>
      </c>
      <c r="J33" s="203"/>
      <c r="K33" s="202">
        <v>5</v>
      </c>
      <c r="L33" s="203"/>
      <c r="M33" s="20">
        <v>6</v>
      </c>
      <c r="N33" s="20">
        <v>7</v>
      </c>
    </row>
    <row r="34" spans="1:16" x14ac:dyDescent="0.25">
      <c r="A34" s="67">
        <v>1</v>
      </c>
      <c r="B34" s="68" t="s">
        <v>108</v>
      </c>
      <c r="C34" s="68"/>
      <c r="D34" s="68"/>
      <c r="E34" s="289">
        <f t="shared" ref="E34" si="24">E35+E36+E37</f>
        <v>22379.63</v>
      </c>
      <c r="F34" s="290"/>
      <c r="G34" s="289">
        <f t="shared" ref="G34" si="25">G35+G36+G37</f>
        <v>0</v>
      </c>
      <c r="H34" s="290"/>
      <c r="I34" s="289">
        <f t="shared" ref="I34" si="26">I35+I36+I37</f>
        <v>29883.93</v>
      </c>
      <c r="J34" s="290"/>
      <c r="K34" s="289">
        <f t="shared" ref="K34" si="27">K35+K36+K37</f>
        <v>27489.73</v>
      </c>
      <c r="L34" s="290"/>
      <c r="M34" s="69">
        <f>K34/E34*100</f>
        <v>122.83371083436141</v>
      </c>
      <c r="N34" s="69">
        <f>K34/I34*100</f>
        <v>91.988336206114781</v>
      </c>
    </row>
    <row r="35" spans="1:16" x14ac:dyDescent="0.25">
      <c r="A35" s="10">
        <v>11</v>
      </c>
      <c r="B35" s="32" t="s">
        <v>108</v>
      </c>
      <c r="C35" s="32"/>
      <c r="D35" s="32"/>
      <c r="E35" s="176">
        <v>19607.28</v>
      </c>
      <c r="F35" s="177"/>
      <c r="G35" s="176"/>
      <c r="H35" s="177"/>
      <c r="I35" s="176">
        <v>10021.69</v>
      </c>
      <c r="J35" s="177"/>
      <c r="K35" s="156">
        <f>730.02+5214+2000+860.33+1217.34</f>
        <v>10021.69</v>
      </c>
      <c r="L35" s="157"/>
      <c r="M35" s="60">
        <f>K35/E35*100</f>
        <v>51.112086939136901</v>
      </c>
      <c r="N35" s="60">
        <f>K35/I35*100</f>
        <v>100</v>
      </c>
    </row>
    <row r="36" spans="1:16" x14ac:dyDescent="0.25">
      <c r="A36" s="11">
        <v>12</v>
      </c>
      <c r="B36" s="4" t="s">
        <v>109</v>
      </c>
      <c r="C36" s="4"/>
      <c r="D36" s="4"/>
      <c r="E36" s="176">
        <f>309.29+1874.47</f>
        <v>2183.7600000000002</v>
      </c>
      <c r="F36" s="177"/>
      <c r="G36" s="176"/>
      <c r="H36" s="177"/>
      <c r="I36" s="176">
        <v>15568.62</v>
      </c>
      <c r="J36" s="177"/>
      <c r="K36" s="176">
        <f>11308.5+1865.92</f>
        <v>13174.42</v>
      </c>
      <c r="L36" s="177"/>
      <c r="M36" s="37">
        <f>K36/E36*100</f>
        <v>603.29065465069414</v>
      </c>
      <c r="N36" s="37">
        <f>K36/I36*100</f>
        <v>84.621629919671747</v>
      </c>
    </row>
    <row r="37" spans="1:16" x14ac:dyDescent="0.25">
      <c r="A37" s="11">
        <v>19</v>
      </c>
      <c r="B37" s="4" t="s">
        <v>110</v>
      </c>
      <c r="C37" s="4"/>
      <c r="D37" s="4"/>
      <c r="E37" s="176">
        <v>588.59</v>
      </c>
      <c r="F37" s="177"/>
      <c r="G37" s="176"/>
      <c r="H37" s="177"/>
      <c r="I37" s="176">
        <v>4293.62</v>
      </c>
      <c r="J37" s="177"/>
      <c r="K37" s="176">
        <f>3685.5+608.12</f>
        <v>4293.62</v>
      </c>
      <c r="L37" s="177"/>
      <c r="M37" s="37">
        <f t="shared" ref="M37:M45" si="28">K37/E37*100</f>
        <v>729.47552625766662</v>
      </c>
      <c r="N37" s="37">
        <f t="shared" ref="N37:N47" si="29">K37/I37*100</f>
        <v>100</v>
      </c>
    </row>
    <row r="38" spans="1:16" x14ac:dyDescent="0.25">
      <c r="A38" s="16">
        <v>3</v>
      </c>
      <c r="B38" s="5" t="s">
        <v>151</v>
      </c>
      <c r="C38" s="5"/>
      <c r="D38" s="5"/>
      <c r="E38" s="282">
        <f t="shared" ref="E38" si="30">E39</f>
        <v>0</v>
      </c>
      <c r="F38" s="283"/>
      <c r="G38" s="282">
        <f t="shared" ref="G38" si="31">G39</f>
        <v>7000</v>
      </c>
      <c r="H38" s="283"/>
      <c r="I38" s="282">
        <f t="shared" ref="I38" si="32">I39</f>
        <v>7000</v>
      </c>
      <c r="J38" s="283"/>
      <c r="K38" s="282">
        <f t="shared" ref="K38" si="33">K39</f>
        <v>0</v>
      </c>
      <c r="L38" s="283"/>
      <c r="M38" s="36" t="e">
        <f>K38/E38*100</f>
        <v>#DIV/0!</v>
      </c>
      <c r="N38" s="36">
        <f t="shared" si="29"/>
        <v>0</v>
      </c>
    </row>
    <row r="39" spans="1:16" x14ac:dyDescent="0.25">
      <c r="A39" s="11">
        <v>31</v>
      </c>
      <c r="B39" s="4" t="s">
        <v>111</v>
      </c>
      <c r="C39" s="4"/>
      <c r="D39" s="4"/>
      <c r="E39" s="176"/>
      <c r="F39" s="177"/>
      <c r="G39" s="176">
        <v>7000</v>
      </c>
      <c r="H39" s="177"/>
      <c r="I39" s="176">
        <v>7000</v>
      </c>
      <c r="J39" s="177"/>
      <c r="K39" s="176"/>
      <c r="L39" s="177"/>
      <c r="M39" s="37" t="e">
        <f t="shared" si="28"/>
        <v>#DIV/0!</v>
      </c>
      <c r="N39" s="37">
        <f>K39/I39*100</f>
        <v>0</v>
      </c>
    </row>
    <row r="40" spans="1:16" x14ac:dyDescent="0.25">
      <c r="A40" s="16">
        <v>4</v>
      </c>
      <c r="B40" s="5" t="s">
        <v>106</v>
      </c>
      <c r="C40" s="5"/>
      <c r="D40" s="5"/>
      <c r="E40" s="282">
        <f t="shared" ref="E40" si="34">E41+E42+E43</f>
        <v>86645.8</v>
      </c>
      <c r="F40" s="283"/>
      <c r="G40" s="282">
        <f t="shared" ref="G40" si="35">G41+G42+G43</f>
        <v>181864.75</v>
      </c>
      <c r="H40" s="283"/>
      <c r="I40" s="282">
        <f t="shared" ref="I40" si="36">I41+I42+I43</f>
        <v>196817.75</v>
      </c>
      <c r="J40" s="283"/>
      <c r="K40" s="282">
        <f t="shared" ref="K40" si="37">K41+K42+K43</f>
        <v>117893.1</v>
      </c>
      <c r="L40" s="283"/>
      <c r="M40" s="36">
        <f t="shared" si="28"/>
        <v>136.06325984640918</v>
      </c>
      <c r="N40" s="36">
        <f t="shared" si="29"/>
        <v>59.899627955303835</v>
      </c>
    </row>
    <row r="41" spans="1:16" x14ac:dyDescent="0.25">
      <c r="A41" s="11">
        <v>41</v>
      </c>
      <c r="B41" s="4" t="s">
        <v>106</v>
      </c>
      <c r="C41" s="4"/>
      <c r="D41" s="4"/>
      <c r="E41" s="176"/>
      <c r="F41" s="177"/>
      <c r="G41" s="176">
        <v>1000</v>
      </c>
      <c r="H41" s="177"/>
      <c r="I41" s="176">
        <v>1000</v>
      </c>
      <c r="J41" s="177"/>
      <c r="K41" s="176"/>
      <c r="L41" s="177"/>
      <c r="M41" s="37" t="e">
        <f t="shared" si="28"/>
        <v>#DIV/0!</v>
      </c>
      <c r="N41" s="37">
        <f t="shared" si="29"/>
        <v>0</v>
      </c>
    </row>
    <row r="42" spans="1:16" x14ac:dyDescent="0.25">
      <c r="A42" s="11">
        <v>42</v>
      </c>
      <c r="B42" s="4" t="s">
        <v>112</v>
      </c>
      <c r="C42" s="4"/>
      <c r="D42" s="4"/>
      <c r="E42" s="284">
        <f>2845.63+352.51+1493.13</f>
        <v>4691.2700000000004</v>
      </c>
      <c r="F42" s="285"/>
      <c r="G42" s="176">
        <v>20000</v>
      </c>
      <c r="H42" s="177"/>
      <c r="I42" s="176">
        <v>20000</v>
      </c>
      <c r="J42" s="177"/>
      <c r="K42" s="284">
        <f>306.79+2268.47+1231.46+261</f>
        <v>4067.72</v>
      </c>
      <c r="L42" s="285"/>
      <c r="M42" s="37">
        <f t="shared" si="28"/>
        <v>86.70829007923227</v>
      </c>
      <c r="N42" s="37">
        <f t="shared" si="29"/>
        <v>20.3386</v>
      </c>
      <c r="P42" s="25"/>
    </row>
    <row r="43" spans="1:16" x14ac:dyDescent="0.25">
      <c r="A43" s="11">
        <v>45</v>
      </c>
      <c r="B43" s="4" t="s">
        <v>113</v>
      </c>
      <c r="C43" s="4"/>
      <c r="D43" s="4"/>
      <c r="E43" s="176">
        <f>80479.63+240+1042.9+192</f>
        <v>81954.53</v>
      </c>
      <c r="F43" s="177"/>
      <c r="G43" s="176">
        <v>160864.75</v>
      </c>
      <c r="H43" s="177"/>
      <c r="I43" s="176">
        <v>175817.75</v>
      </c>
      <c r="J43" s="177"/>
      <c r="K43" s="176">
        <v>113825.38</v>
      </c>
      <c r="L43" s="177"/>
      <c r="M43" s="37">
        <f t="shared" si="28"/>
        <v>138.8884543660979</v>
      </c>
      <c r="N43" s="37">
        <f t="shared" si="29"/>
        <v>64.740550939822626</v>
      </c>
    </row>
    <row r="44" spans="1:16" x14ac:dyDescent="0.25">
      <c r="A44" s="16">
        <v>5</v>
      </c>
      <c r="B44" s="5" t="s">
        <v>152</v>
      </c>
      <c r="C44" s="5"/>
      <c r="D44" s="5"/>
      <c r="E44" s="282">
        <f>E45</f>
        <v>966429.94000000006</v>
      </c>
      <c r="F44" s="283"/>
      <c r="G44" s="282">
        <f t="shared" ref="G44" si="38">G45</f>
        <v>2175450</v>
      </c>
      <c r="H44" s="283"/>
      <c r="I44" s="282">
        <f t="shared" ref="I44" si="39">I45</f>
        <v>2176730</v>
      </c>
      <c r="J44" s="283"/>
      <c r="K44" s="282">
        <f t="shared" ref="K44" si="40">K45</f>
        <v>1184316.5399999998</v>
      </c>
      <c r="L44" s="283"/>
      <c r="M44" s="36">
        <f t="shared" si="28"/>
        <v>122.54551426666269</v>
      </c>
      <c r="N44" s="36">
        <f t="shared" si="29"/>
        <v>54.408058877306772</v>
      </c>
    </row>
    <row r="45" spans="1:16" x14ac:dyDescent="0.25">
      <c r="A45" s="11">
        <v>51</v>
      </c>
      <c r="B45" s="4" t="s">
        <v>114</v>
      </c>
      <c r="C45" s="4"/>
      <c r="D45" s="4"/>
      <c r="E45" s="176">
        <f>10322.9+955939.04+168</f>
        <v>966429.94000000006</v>
      </c>
      <c r="F45" s="177"/>
      <c r="G45" s="176">
        <f>2152200+23250</f>
        <v>2175450</v>
      </c>
      <c r="H45" s="177"/>
      <c r="I45" s="176">
        <v>2176730</v>
      </c>
      <c r="J45" s="177"/>
      <c r="K45" s="176">
        <f>1168293.13+57.38+2607.93+1280+85.3+11992.8</f>
        <v>1184316.5399999998</v>
      </c>
      <c r="L45" s="177"/>
      <c r="M45" s="37">
        <f t="shared" si="28"/>
        <v>122.54551426666269</v>
      </c>
      <c r="N45" s="37">
        <f t="shared" si="29"/>
        <v>54.408058877306772</v>
      </c>
    </row>
    <row r="46" spans="1:16" s="74" customFormat="1" x14ac:dyDescent="0.25">
      <c r="A46" s="9">
        <v>6</v>
      </c>
      <c r="B46" s="70" t="s">
        <v>153</v>
      </c>
      <c r="C46" s="70"/>
      <c r="D46" s="70"/>
      <c r="E46" s="282">
        <f t="shared" ref="E46" si="41">E47</f>
        <v>0</v>
      </c>
      <c r="F46" s="283"/>
      <c r="G46" s="282">
        <f t="shared" ref="G46" si="42">G47</f>
        <v>4000</v>
      </c>
      <c r="H46" s="283"/>
      <c r="I46" s="282">
        <f t="shared" ref="I46" si="43">I47</f>
        <v>4000</v>
      </c>
      <c r="J46" s="283"/>
      <c r="K46" s="282">
        <f t="shared" ref="K46" si="44">K47</f>
        <v>0</v>
      </c>
      <c r="L46" s="283"/>
      <c r="M46" s="36" t="e">
        <f>K46/E46*100</f>
        <v>#DIV/0!</v>
      </c>
      <c r="N46" s="36">
        <f t="shared" si="29"/>
        <v>0</v>
      </c>
    </row>
    <row r="47" spans="1:16" s="74" customFormat="1" ht="15.75" thickBot="1" x14ac:dyDescent="0.3">
      <c r="A47" s="27">
        <v>61</v>
      </c>
      <c r="B47" s="28" t="s">
        <v>116</v>
      </c>
      <c r="C47" s="28"/>
      <c r="D47" s="28"/>
      <c r="E47" s="176"/>
      <c r="F47" s="177"/>
      <c r="G47" s="278">
        <v>4000</v>
      </c>
      <c r="H47" s="279"/>
      <c r="I47" s="278">
        <v>4000</v>
      </c>
      <c r="J47" s="279"/>
      <c r="K47" s="176"/>
      <c r="L47" s="177"/>
      <c r="M47" s="37" t="e">
        <f>K47/E47*100</f>
        <v>#DIV/0!</v>
      </c>
      <c r="N47" s="37">
        <f t="shared" si="29"/>
        <v>0</v>
      </c>
    </row>
    <row r="48" spans="1:16" ht="15.75" thickBot="1" x14ac:dyDescent="0.3">
      <c r="A48" s="281" t="s">
        <v>107</v>
      </c>
      <c r="B48" s="281"/>
      <c r="C48" s="281"/>
      <c r="D48" s="281"/>
      <c r="E48" s="276">
        <f>SUM(E34+E38+E40+E44+E46)</f>
        <v>1075455.3700000001</v>
      </c>
      <c r="F48" s="277"/>
      <c r="G48" s="276">
        <f>SUM(G34+G38+G40+G44+G46)</f>
        <v>2368314.75</v>
      </c>
      <c r="H48" s="277"/>
      <c r="I48" s="276">
        <f>SUM(I34+I38+I40+I44+I46)</f>
        <v>2414431.6800000002</v>
      </c>
      <c r="J48" s="277"/>
      <c r="K48" s="276">
        <f>SUM(K34+K38+K40+K44+K46)</f>
        <v>1329699.3699999999</v>
      </c>
      <c r="L48" s="277"/>
      <c r="M48" s="43">
        <f t="shared" ref="M48" si="45">K48/E48*100</f>
        <v>123.64059049702823</v>
      </c>
      <c r="N48" s="43">
        <f t="shared" ref="N48" si="46">K48/I48*100</f>
        <v>55.072975599789999</v>
      </c>
      <c r="P48" s="25"/>
    </row>
    <row r="49" spans="5:8" x14ac:dyDescent="0.25">
      <c r="E49" s="74"/>
      <c r="F49" s="74"/>
      <c r="G49" s="74"/>
      <c r="H49" s="74"/>
    </row>
  </sheetData>
  <customSheetViews>
    <customSheetView guid="{005C429F-8448-44DF-83AD-8A930973E873}" topLeftCell="A4">
      <selection activeCell="O19" sqref="O19"/>
      <pageMargins left="0.7" right="0.7" top="0.75" bottom="0.75" header="0.3" footer="0.3"/>
      <pageSetup paperSize="9" scale="82" orientation="portrait" r:id="rId1"/>
    </customSheetView>
  </customSheetViews>
  <mergeCells count="151">
    <mergeCell ref="E46:F46"/>
    <mergeCell ref="G46:H46"/>
    <mergeCell ref="I46:J46"/>
    <mergeCell ref="K46:L46"/>
    <mergeCell ref="E47:F47"/>
    <mergeCell ref="G47:H47"/>
    <mergeCell ref="I47:J47"/>
    <mergeCell ref="K47:L47"/>
    <mergeCell ref="I21:J21"/>
    <mergeCell ref="K21:L21"/>
    <mergeCell ref="K34:L34"/>
    <mergeCell ref="I27:J27"/>
    <mergeCell ref="K27:L27"/>
    <mergeCell ref="E40:F40"/>
    <mergeCell ref="G40:H40"/>
    <mergeCell ref="I40:J40"/>
    <mergeCell ref="K40:L40"/>
    <mergeCell ref="E37:F37"/>
    <mergeCell ref="I37:J37"/>
    <mergeCell ref="K37:L37"/>
    <mergeCell ref="E39:F39"/>
    <mergeCell ref="I39:J39"/>
    <mergeCell ref="K39:L39"/>
    <mergeCell ref="G37:H37"/>
    <mergeCell ref="I16:J16"/>
    <mergeCell ref="K16:L16"/>
    <mergeCell ref="I18:J18"/>
    <mergeCell ref="E17:F17"/>
    <mergeCell ref="G21:H21"/>
    <mergeCell ref="E21:F21"/>
    <mergeCell ref="G20:H20"/>
    <mergeCell ref="G17:H17"/>
    <mergeCell ref="I17:J17"/>
    <mergeCell ref="K17:L17"/>
    <mergeCell ref="E19:F19"/>
    <mergeCell ref="G19:H19"/>
    <mergeCell ref="I19:J19"/>
    <mergeCell ref="K19:L19"/>
    <mergeCell ref="K18:L18"/>
    <mergeCell ref="I20:J20"/>
    <mergeCell ref="K20:L20"/>
    <mergeCell ref="G16:H16"/>
    <mergeCell ref="G18:H18"/>
    <mergeCell ref="E16:F16"/>
    <mergeCell ref="E18:F18"/>
    <mergeCell ref="E20:F20"/>
    <mergeCell ref="A7:N7"/>
    <mergeCell ref="A12:D12"/>
    <mergeCell ref="E12:F12"/>
    <mergeCell ref="I12:J12"/>
    <mergeCell ref="K12:L12"/>
    <mergeCell ref="A10:D10"/>
    <mergeCell ref="B11:D11"/>
    <mergeCell ref="E14:F14"/>
    <mergeCell ref="E15:F15"/>
    <mergeCell ref="G10:H11"/>
    <mergeCell ref="E10:F11"/>
    <mergeCell ref="I10:J11"/>
    <mergeCell ref="K10:L11"/>
    <mergeCell ref="G12:H12"/>
    <mergeCell ref="K14:L14"/>
    <mergeCell ref="I15:J15"/>
    <mergeCell ref="E13:F13"/>
    <mergeCell ref="G13:H13"/>
    <mergeCell ref="I13:J13"/>
    <mergeCell ref="K13:L13"/>
    <mergeCell ref="G14:H14"/>
    <mergeCell ref="G15:H15"/>
    <mergeCell ref="K15:L15"/>
    <mergeCell ref="I14:J14"/>
    <mergeCell ref="A28:D28"/>
    <mergeCell ref="E22:F22"/>
    <mergeCell ref="E24:F24"/>
    <mergeCell ref="E25:F25"/>
    <mergeCell ref="E27:F27"/>
    <mergeCell ref="G22:H22"/>
    <mergeCell ref="G24:H24"/>
    <mergeCell ref="I24:J24"/>
    <mergeCell ref="K24:L24"/>
    <mergeCell ref="I22:J22"/>
    <mergeCell ref="E26:F26"/>
    <mergeCell ref="G26:H26"/>
    <mergeCell ref="I26:J26"/>
    <mergeCell ref="K26:L26"/>
    <mergeCell ref="I25:J25"/>
    <mergeCell ref="K25:L25"/>
    <mergeCell ref="E23:F23"/>
    <mergeCell ref="G23:H23"/>
    <mergeCell ref="I23:J23"/>
    <mergeCell ref="K23:L23"/>
    <mergeCell ref="K22:L22"/>
    <mergeCell ref="A31:D31"/>
    <mergeCell ref="E31:F32"/>
    <mergeCell ref="I31:J32"/>
    <mergeCell ref="K31:L32"/>
    <mergeCell ref="B32:D32"/>
    <mergeCell ref="E35:F35"/>
    <mergeCell ref="I35:J35"/>
    <mergeCell ref="K35:L35"/>
    <mergeCell ref="E36:F36"/>
    <mergeCell ref="I36:J36"/>
    <mergeCell ref="K36:L36"/>
    <mergeCell ref="G35:H35"/>
    <mergeCell ref="G36:H36"/>
    <mergeCell ref="A33:D33"/>
    <mergeCell ref="E33:F33"/>
    <mergeCell ref="I33:J33"/>
    <mergeCell ref="K33:L33"/>
    <mergeCell ref="E34:F34"/>
    <mergeCell ref="G34:H34"/>
    <mergeCell ref="I34:J34"/>
    <mergeCell ref="K38:L38"/>
    <mergeCell ref="K45:L45"/>
    <mergeCell ref="G43:H43"/>
    <mergeCell ref="G45:H45"/>
    <mergeCell ref="E44:F44"/>
    <mergeCell ref="G44:H44"/>
    <mergeCell ref="I44:J44"/>
    <mergeCell ref="K44:L44"/>
    <mergeCell ref="E41:F41"/>
    <mergeCell ref="I41:J41"/>
    <mergeCell ref="K41:L41"/>
    <mergeCell ref="E42:F42"/>
    <mergeCell ref="I42:J42"/>
    <mergeCell ref="K42:L42"/>
    <mergeCell ref="G41:H41"/>
    <mergeCell ref="G42:H42"/>
    <mergeCell ref="A5:N5"/>
    <mergeCell ref="A6:N6"/>
    <mergeCell ref="G48:H48"/>
    <mergeCell ref="G25:H25"/>
    <mergeCell ref="G27:H27"/>
    <mergeCell ref="G28:H28"/>
    <mergeCell ref="G31:H32"/>
    <mergeCell ref="G33:H33"/>
    <mergeCell ref="A48:D48"/>
    <mergeCell ref="E28:F28"/>
    <mergeCell ref="I28:J28"/>
    <mergeCell ref="K28:L28"/>
    <mergeCell ref="E48:F48"/>
    <mergeCell ref="I48:J48"/>
    <mergeCell ref="K48:L48"/>
    <mergeCell ref="E43:F43"/>
    <mergeCell ref="I43:J43"/>
    <mergeCell ref="K43:L43"/>
    <mergeCell ref="E45:F45"/>
    <mergeCell ref="I45:J45"/>
    <mergeCell ref="G39:H39"/>
    <mergeCell ref="E38:F38"/>
    <mergeCell ref="G38:H38"/>
    <mergeCell ref="I38:J38"/>
  </mergeCells>
  <pageMargins left="0.7" right="0.7" top="0.75" bottom="0.75" header="0.3" footer="0.3"/>
  <pageSetup paperSize="9" scale="65" orientation="portrait" r:id="rId2"/>
  <ignoredErrors>
    <ignoredError sqref="M27:N27 M16 N28 M18:N18 M20:N22 M24:N24 M36:N37 M25:N25 N26 M45:N45 M41:N43 M39 M38:N38 M40:N40 N39 M44:N44 M46:N48" evalError="1"/>
    <ignoredError sqref="E45:K4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/>
  </sheetViews>
  <sheetFormatPr defaultRowHeight="15" x14ac:dyDescent="0.25"/>
  <cols>
    <col min="4" max="6" width="9.140625" customWidth="1"/>
  </cols>
  <sheetData>
    <row r="1" spans="1:16" x14ac:dyDescent="0.25">
      <c r="A1" s="1" t="s">
        <v>14</v>
      </c>
    </row>
    <row r="2" spans="1:16" x14ac:dyDescent="0.25">
      <c r="A2" t="s">
        <v>12</v>
      </c>
    </row>
    <row r="3" spans="1:16" x14ac:dyDescent="0.25">
      <c r="A3" t="s">
        <v>13</v>
      </c>
    </row>
    <row r="5" spans="1:16" x14ac:dyDescent="0.25">
      <c r="A5" s="150" t="s">
        <v>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</row>
    <row r="6" spans="1:16" x14ac:dyDescent="0.25">
      <c r="A6" s="150" t="s">
        <v>144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</row>
    <row r="7" spans="1:16" x14ac:dyDescent="0.25">
      <c r="A7" s="150" t="s">
        <v>147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</row>
    <row r="8" spans="1:16" ht="15.75" thickBot="1" x14ac:dyDescent="0.3"/>
    <row r="9" spans="1:16" ht="15" customHeight="1" x14ac:dyDescent="0.25">
      <c r="A9" s="291" t="s">
        <v>154</v>
      </c>
      <c r="B9" s="292"/>
      <c r="C9" s="292"/>
      <c r="D9" s="292"/>
      <c r="E9" s="292"/>
      <c r="F9" s="293"/>
      <c r="G9" s="151" t="s">
        <v>161</v>
      </c>
      <c r="H9" s="152"/>
      <c r="I9" s="151" t="s">
        <v>173</v>
      </c>
      <c r="J9" s="152"/>
      <c r="K9" s="151" t="s">
        <v>177</v>
      </c>
      <c r="L9" s="152"/>
      <c r="M9" s="151" t="s">
        <v>178</v>
      </c>
      <c r="N9" s="152"/>
      <c r="O9" s="18" t="s">
        <v>39</v>
      </c>
      <c r="P9" s="18" t="s">
        <v>39</v>
      </c>
    </row>
    <row r="10" spans="1:16" x14ac:dyDescent="0.25">
      <c r="A10" s="294"/>
      <c r="B10" s="295"/>
      <c r="C10" s="295"/>
      <c r="D10" s="295"/>
      <c r="E10" s="295"/>
      <c r="F10" s="296"/>
      <c r="G10" s="153"/>
      <c r="H10" s="154"/>
      <c r="I10" s="153"/>
      <c r="J10" s="154"/>
      <c r="K10" s="153"/>
      <c r="L10" s="154"/>
      <c r="M10" s="153"/>
      <c r="N10" s="154"/>
      <c r="O10" s="21" t="s">
        <v>123</v>
      </c>
      <c r="P10" s="19" t="s">
        <v>124</v>
      </c>
    </row>
    <row r="11" spans="1:16" ht="15.75" thickBot="1" x14ac:dyDescent="0.3">
      <c r="A11" s="202">
        <v>1</v>
      </c>
      <c r="B11" s="203"/>
      <c r="C11" s="203"/>
      <c r="D11" s="203"/>
      <c r="E11" s="203"/>
      <c r="F11" s="204"/>
      <c r="G11" s="202">
        <v>2</v>
      </c>
      <c r="H11" s="203"/>
      <c r="I11" s="202">
        <v>3</v>
      </c>
      <c r="J11" s="203"/>
      <c r="K11" s="202">
        <v>4</v>
      </c>
      <c r="L11" s="203"/>
      <c r="M11" s="202">
        <v>5</v>
      </c>
      <c r="N11" s="203"/>
      <c r="O11" s="20">
        <v>6</v>
      </c>
      <c r="P11" s="20">
        <v>7</v>
      </c>
    </row>
    <row r="12" spans="1:16" ht="15" customHeight="1" x14ac:dyDescent="0.25">
      <c r="A12" s="56" t="s">
        <v>135</v>
      </c>
      <c r="B12" s="57" t="s">
        <v>136</v>
      </c>
      <c r="C12" s="49"/>
      <c r="D12" s="49"/>
      <c r="E12" s="49"/>
      <c r="F12" s="50"/>
      <c r="G12" s="232">
        <f>G13+G15</f>
        <v>1075455.3700000001</v>
      </c>
      <c r="H12" s="233"/>
      <c r="I12" s="232">
        <f>I13+I15</f>
        <v>2368314.75</v>
      </c>
      <c r="J12" s="233"/>
      <c r="K12" s="232">
        <f t="shared" ref="K12" si="0">K13+K15</f>
        <v>2414431.6800000002</v>
      </c>
      <c r="L12" s="233"/>
      <c r="M12" s="232">
        <f t="shared" ref="M12" si="1">M13+M15</f>
        <v>1329699.3700000001</v>
      </c>
      <c r="N12" s="233"/>
      <c r="O12" s="42">
        <f>(M12/G12)*100</f>
        <v>123.64059049702824</v>
      </c>
      <c r="P12" s="42">
        <f>M12/K12*100</f>
        <v>55.072975599790006</v>
      </c>
    </row>
    <row r="13" spans="1:16" ht="15" customHeight="1" x14ac:dyDescent="0.25">
      <c r="A13" s="127" t="s">
        <v>138</v>
      </c>
      <c r="B13" s="5" t="s">
        <v>137</v>
      </c>
      <c r="C13" s="77"/>
      <c r="D13" s="77"/>
      <c r="E13" s="77"/>
      <c r="F13" s="78"/>
      <c r="G13" s="226">
        <f>G14</f>
        <v>1066558.9700000002</v>
      </c>
      <c r="H13" s="227"/>
      <c r="I13" s="226">
        <f t="shared" ref="I13" si="2">I14</f>
        <v>2348314.75</v>
      </c>
      <c r="J13" s="227"/>
      <c r="K13" s="226">
        <f t="shared" ref="K13" si="3">K14</f>
        <v>2394431.6800000002</v>
      </c>
      <c r="L13" s="227"/>
      <c r="M13" s="226">
        <f t="shared" ref="M13" si="4">M14</f>
        <v>1317706.57</v>
      </c>
      <c r="N13" s="227"/>
      <c r="O13" s="79">
        <f>M13/G13*100</f>
        <v>123.54746498451932</v>
      </c>
      <c r="P13" s="79">
        <f>M13/K13*100</f>
        <v>55.032122277967858</v>
      </c>
    </row>
    <row r="14" spans="1:16" s="74" customFormat="1" ht="15" customHeight="1" x14ac:dyDescent="0.25">
      <c r="A14" s="124" t="s">
        <v>139</v>
      </c>
      <c r="B14" s="7" t="s">
        <v>140</v>
      </c>
      <c r="C14" s="125"/>
      <c r="D14" s="125"/>
      <c r="E14" s="125"/>
      <c r="F14" s="126"/>
      <c r="G14" s="238">
        <f>1075455.37-G16</f>
        <v>1066558.9700000002</v>
      </c>
      <c r="H14" s="239"/>
      <c r="I14" s="238">
        <f>2368314.75-I16</f>
        <v>2348314.75</v>
      </c>
      <c r="J14" s="239"/>
      <c r="K14" s="238">
        <f>2414431.68-K16</f>
        <v>2394431.6800000002</v>
      </c>
      <c r="L14" s="239"/>
      <c r="M14" s="238">
        <f>1329699.37-M16</f>
        <v>1317706.57</v>
      </c>
      <c r="N14" s="239"/>
      <c r="O14" s="58">
        <f>M14/G14*100</f>
        <v>123.54746498451932</v>
      </c>
      <c r="P14" s="58">
        <f>M14/K14*100</f>
        <v>55.032122277967858</v>
      </c>
    </row>
    <row r="15" spans="1:16" x14ac:dyDescent="0.25">
      <c r="A15" s="127" t="s">
        <v>169</v>
      </c>
      <c r="B15" s="5" t="s">
        <v>171</v>
      </c>
      <c r="C15" s="83"/>
      <c r="D15" s="83"/>
      <c r="E15" s="83"/>
      <c r="F15" s="84"/>
      <c r="G15" s="226">
        <f>G16</f>
        <v>8896.4</v>
      </c>
      <c r="H15" s="227"/>
      <c r="I15" s="226">
        <f t="shared" ref="I15" si="5">I16</f>
        <v>20000</v>
      </c>
      <c r="J15" s="227"/>
      <c r="K15" s="226">
        <f t="shared" ref="K15:M15" si="6">K16</f>
        <v>20000</v>
      </c>
      <c r="L15" s="227"/>
      <c r="M15" s="226">
        <f t="shared" si="6"/>
        <v>11992.8</v>
      </c>
      <c r="N15" s="227"/>
      <c r="O15" s="79">
        <f>M15/G15*100</f>
        <v>134.80508969920416</v>
      </c>
      <c r="P15" s="79">
        <f>M15/K15*100</f>
        <v>59.963999999999999</v>
      </c>
    </row>
    <row r="16" spans="1:16" ht="15.75" thickBot="1" x14ac:dyDescent="0.3">
      <c r="A16" s="128" t="s">
        <v>170</v>
      </c>
      <c r="B16" s="129" t="s">
        <v>171</v>
      </c>
      <c r="C16" s="130"/>
      <c r="D16" s="130"/>
      <c r="E16" s="130"/>
      <c r="F16" s="131"/>
      <c r="G16" s="297">
        <v>8896.4</v>
      </c>
      <c r="H16" s="298"/>
      <c r="I16" s="297">
        <v>20000</v>
      </c>
      <c r="J16" s="298"/>
      <c r="K16" s="297">
        <v>20000</v>
      </c>
      <c r="L16" s="298"/>
      <c r="M16" s="297">
        <v>11992.8</v>
      </c>
      <c r="N16" s="298"/>
      <c r="O16" s="132">
        <f>M16/G16*100</f>
        <v>134.80508969920416</v>
      </c>
      <c r="P16" s="132">
        <f>M16/K16*100</f>
        <v>59.963999999999999</v>
      </c>
    </row>
    <row r="21" spans="13:13" x14ac:dyDescent="0.25">
      <c r="M21" s="25"/>
    </row>
  </sheetData>
  <mergeCells count="33">
    <mergeCell ref="G16:H16"/>
    <mergeCell ref="I16:J16"/>
    <mergeCell ref="K16:L16"/>
    <mergeCell ref="M16:N16"/>
    <mergeCell ref="G13:H13"/>
    <mergeCell ref="I13:J13"/>
    <mergeCell ref="K13:L13"/>
    <mergeCell ref="M13:N13"/>
    <mergeCell ref="G15:H15"/>
    <mergeCell ref="I15:J15"/>
    <mergeCell ref="K15:L15"/>
    <mergeCell ref="M15:N15"/>
    <mergeCell ref="G14:H14"/>
    <mergeCell ref="I14:J14"/>
    <mergeCell ref="K14:L14"/>
    <mergeCell ref="M14:N14"/>
    <mergeCell ref="G12:H12"/>
    <mergeCell ref="I12:J12"/>
    <mergeCell ref="K12:L12"/>
    <mergeCell ref="M12:N12"/>
    <mergeCell ref="A11:F11"/>
    <mergeCell ref="G11:H11"/>
    <mergeCell ref="I11:J11"/>
    <mergeCell ref="K11:L11"/>
    <mergeCell ref="M11:N11"/>
    <mergeCell ref="A5:P5"/>
    <mergeCell ref="A6:P6"/>
    <mergeCell ref="A7:P7"/>
    <mergeCell ref="A9:F10"/>
    <mergeCell ref="G9:H10"/>
    <mergeCell ref="I9:J10"/>
    <mergeCell ref="K9:L10"/>
    <mergeCell ref="M9:N10"/>
  </mergeCells>
  <pageMargins left="0.7" right="0.7" top="0.75" bottom="0.75" header="0.3" footer="0.3"/>
  <pageSetup paperSize="9" scale="56" orientation="portrait" verticalDpi="300" r:id="rId1"/>
  <ignoredErrors>
    <ignoredError sqref="O12:P13 O15:P15" evalError="1"/>
    <ignoredError sqref="A12:A16" numberStoredAsText="1"/>
    <ignoredError sqref="G14:I14 K14 M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tabSelected="1" zoomScaleNormal="100" workbookViewId="0"/>
  </sheetViews>
  <sheetFormatPr defaultRowHeight="15" x14ac:dyDescent="0.25"/>
  <cols>
    <col min="1" max="6" width="9.7109375" customWidth="1"/>
    <col min="7" max="15" width="8.85546875" customWidth="1"/>
  </cols>
  <sheetData>
    <row r="1" spans="1:13" x14ac:dyDescent="0.25">
      <c r="A1" s="1" t="s">
        <v>14</v>
      </c>
    </row>
    <row r="2" spans="1:13" x14ac:dyDescent="0.25">
      <c r="A2" t="s">
        <v>12</v>
      </c>
    </row>
    <row r="3" spans="1:13" x14ac:dyDescent="0.25">
      <c r="A3" t="s">
        <v>13</v>
      </c>
    </row>
    <row r="5" spans="1:13" x14ac:dyDescent="0.25">
      <c r="A5" s="150" t="s">
        <v>148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7" spans="1:13" ht="15" customHeight="1" x14ac:dyDescent="0.25">
      <c r="A7" s="346" t="s">
        <v>179</v>
      </c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</row>
    <row r="8" spans="1:13" ht="15.75" thickBot="1" x14ac:dyDescent="0.3"/>
    <row r="9" spans="1:13" ht="15" customHeight="1" x14ac:dyDescent="0.25">
      <c r="A9" s="291" t="s">
        <v>134</v>
      </c>
      <c r="B9" s="292"/>
      <c r="C9" s="292"/>
      <c r="D9" s="292"/>
      <c r="E9" s="292"/>
      <c r="F9" s="292"/>
      <c r="G9" s="291" t="s">
        <v>173</v>
      </c>
      <c r="H9" s="292"/>
      <c r="I9" s="291" t="s">
        <v>177</v>
      </c>
      <c r="J9" s="292"/>
      <c r="K9" s="166" t="s">
        <v>178</v>
      </c>
      <c r="L9" s="166"/>
      <c r="M9" s="18" t="s">
        <v>39</v>
      </c>
    </row>
    <row r="10" spans="1:13" x14ac:dyDescent="0.25">
      <c r="A10" s="294"/>
      <c r="B10" s="295"/>
      <c r="C10" s="295"/>
      <c r="D10" s="295"/>
      <c r="E10" s="295"/>
      <c r="F10" s="295"/>
      <c r="G10" s="294"/>
      <c r="H10" s="295"/>
      <c r="I10" s="294"/>
      <c r="J10" s="295"/>
      <c r="K10" s="167"/>
      <c r="L10" s="167"/>
      <c r="M10" s="19" t="s">
        <v>141</v>
      </c>
    </row>
    <row r="11" spans="1:13" ht="15.75" thickBot="1" x14ac:dyDescent="0.3">
      <c r="A11" s="202">
        <v>1</v>
      </c>
      <c r="B11" s="203"/>
      <c r="C11" s="203"/>
      <c r="D11" s="203"/>
      <c r="E11" s="203"/>
      <c r="F11" s="204"/>
      <c r="G11" s="202">
        <v>2</v>
      </c>
      <c r="H11" s="203"/>
      <c r="I11" s="202">
        <v>3</v>
      </c>
      <c r="J11" s="203"/>
      <c r="K11" s="202">
        <v>4</v>
      </c>
      <c r="L11" s="203"/>
      <c r="M11" s="20">
        <v>5</v>
      </c>
    </row>
    <row r="12" spans="1:13" ht="15.75" thickBot="1" x14ac:dyDescent="0.3">
      <c r="A12" s="71">
        <v>19773</v>
      </c>
      <c r="B12" s="65" t="s">
        <v>150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6"/>
    </row>
    <row r="13" spans="1:13" x14ac:dyDescent="0.25">
      <c r="A13" s="10"/>
      <c r="B13" s="315" t="s">
        <v>157</v>
      </c>
      <c r="C13" s="315"/>
      <c r="D13" s="315"/>
      <c r="E13" s="315"/>
      <c r="F13" s="316"/>
      <c r="G13" s="353">
        <f>SUM(G14:H18)</f>
        <v>2368314.75</v>
      </c>
      <c r="H13" s="354"/>
      <c r="I13" s="353">
        <f>SUM(I14:J18)</f>
        <v>2414431.6800000002</v>
      </c>
      <c r="J13" s="354"/>
      <c r="K13" s="353">
        <f>SUM(K14:L18)</f>
        <v>1329699.3699999999</v>
      </c>
      <c r="L13" s="354"/>
      <c r="M13" s="73">
        <f>K13/I13*100</f>
        <v>55.072975599789999</v>
      </c>
    </row>
    <row r="14" spans="1:13" x14ac:dyDescent="0.25">
      <c r="A14" s="13">
        <v>1</v>
      </c>
      <c r="B14" s="7" t="s">
        <v>108</v>
      </c>
      <c r="C14" s="7"/>
      <c r="D14" s="7"/>
      <c r="E14" s="7"/>
      <c r="F14" s="14"/>
      <c r="G14" s="317"/>
      <c r="H14" s="318"/>
      <c r="I14" s="317">
        <f>10021.69+15568.62+4293.62</f>
        <v>29883.93</v>
      </c>
      <c r="J14" s="318"/>
      <c r="K14" s="317">
        <f>730.02+26759.71</f>
        <v>27489.73</v>
      </c>
      <c r="L14" s="318"/>
      <c r="M14" s="72">
        <f>K14/I14*100</f>
        <v>91.988336206114781</v>
      </c>
    </row>
    <row r="15" spans="1:13" x14ac:dyDescent="0.25">
      <c r="A15" s="13">
        <v>3</v>
      </c>
      <c r="B15" s="7" t="s">
        <v>158</v>
      </c>
      <c r="C15" s="7"/>
      <c r="D15" s="7"/>
      <c r="E15" s="7"/>
      <c r="F15" s="14"/>
      <c r="G15" s="317">
        <v>7000</v>
      </c>
      <c r="H15" s="318"/>
      <c r="I15" s="317">
        <v>7000</v>
      </c>
      <c r="J15" s="318"/>
      <c r="K15" s="317"/>
      <c r="L15" s="318"/>
      <c r="M15" s="72">
        <f t="shared" ref="M15:M17" si="0">K15/I15*100</f>
        <v>0</v>
      </c>
    </row>
    <row r="16" spans="1:13" x14ac:dyDescent="0.25">
      <c r="A16" s="13">
        <v>4</v>
      </c>
      <c r="B16" s="7" t="s">
        <v>159</v>
      </c>
      <c r="C16" s="7"/>
      <c r="D16" s="7"/>
      <c r="E16" s="7"/>
      <c r="F16" s="14"/>
      <c r="G16" s="317">
        <f>160864.75+20000+1000</f>
        <v>181864.75</v>
      </c>
      <c r="H16" s="318"/>
      <c r="I16" s="317">
        <f>1000+20000+175817.75</f>
        <v>196817.75</v>
      </c>
      <c r="J16" s="318"/>
      <c r="K16" s="317">
        <f>113825.38+306.79+2268.47+1231.46+261</f>
        <v>117893.1</v>
      </c>
      <c r="L16" s="318"/>
      <c r="M16" s="72">
        <f t="shared" si="0"/>
        <v>59.899627955303835</v>
      </c>
    </row>
    <row r="17" spans="1:15" x14ac:dyDescent="0.25">
      <c r="A17" s="13">
        <v>5</v>
      </c>
      <c r="B17" s="7" t="s">
        <v>152</v>
      </c>
      <c r="C17" s="7"/>
      <c r="D17" s="7"/>
      <c r="E17" s="7"/>
      <c r="F17" s="14"/>
      <c r="G17" s="317">
        <f>2152200+1000+22250</f>
        <v>2175450</v>
      </c>
      <c r="H17" s="318"/>
      <c r="I17" s="317">
        <v>2176730</v>
      </c>
      <c r="J17" s="318"/>
      <c r="K17" s="319">
        <f>1168293.13+57.38+2607.93+1280+85.3+11992.8</f>
        <v>1184316.5399999998</v>
      </c>
      <c r="L17" s="320"/>
      <c r="M17" s="72">
        <f t="shared" si="0"/>
        <v>54.408058877306772</v>
      </c>
    </row>
    <row r="18" spans="1:15" s="74" customFormat="1" ht="15.75" thickBot="1" x14ac:dyDescent="0.3">
      <c r="A18" s="144">
        <v>6</v>
      </c>
      <c r="B18" s="145" t="s">
        <v>153</v>
      </c>
      <c r="C18" s="145"/>
      <c r="D18" s="145"/>
      <c r="E18" s="145"/>
      <c r="F18" s="146"/>
      <c r="G18" s="317">
        <v>4000</v>
      </c>
      <c r="H18" s="318"/>
      <c r="I18" s="317">
        <v>4000</v>
      </c>
      <c r="J18" s="318"/>
      <c r="K18" s="319"/>
      <c r="L18" s="320"/>
      <c r="M18" s="72">
        <f t="shared" ref="M18" si="1">K18/I18*100</f>
        <v>0</v>
      </c>
    </row>
    <row r="19" spans="1:15" x14ac:dyDescent="0.25">
      <c r="A19" s="350" t="s">
        <v>15</v>
      </c>
      <c r="B19" s="351"/>
      <c r="C19" s="351"/>
      <c r="D19" s="351"/>
      <c r="E19" s="351"/>
      <c r="F19" s="352"/>
      <c r="G19" s="328">
        <f>G20+G59+G105</f>
        <v>2368314.75</v>
      </c>
      <c r="H19" s="328"/>
      <c r="I19" s="328">
        <f>I20+I59+I105</f>
        <v>2414431.6800000002</v>
      </c>
      <c r="J19" s="328"/>
      <c r="K19" s="328">
        <f>K20+K59+K105</f>
        <v>1329699.3700000001</v>
      </c>
      <c r="L19" s="328"/>
      <c r="M19" s="39">
        <f t="shared" ref="M19:M20" si="2">K19/I19*100</f>
        <v>55.072975599790006</v>
      </c>
    </row>
    <row r="20" spans="1:15" x14ac:dyDescent="0.25">
      <c r="A20" s="347" t="s">
        <v>93</v>
      </c>
      <c r="B20" s="348"/>
      <c r="C20" s="348"/>
      <c r="D20" s="348"/>
      <c r="E20" s="348"/>
      <c r="F20" s="349"/>
      <c r="G20" s="329">
        <f>G21+G51+G47</f>
        <v>2313064.75</v>
      </c>
      <c r="H20" s="330"/>
      <c r="I20" s="329">
        <f>I21+I51+I47</f>
        <v>2328017.75</v>
      </c>
      <c r="J20" s="330"/>
      <c r="K20" s="329">
        <f>K21+K51+K47</f>
        <v>1282118.5100000002</v>
      </c>
      <c r="L20" s="330"/>
      <c r="M20" s="40">
        <f t="shared" si="2"/>
        <v>55.073399247063314</v>
      </c>
    </row>
    <row r="21" spans="1:15" x14ac:dyDescent="0.25">
      <c r="A21" s="308" t="s">
        <v>16</v>
      </c>
      <c r="B21" s="309"/>
      <c r="C21" s="309"/>
      <c r="D21" s="309"/>
      <c r="E21" s="309"/>
      <c r="F21" s="310"/>
      <c r="G21" s="321">
        <f>G23</f>
        <v>160864.75</v>
      </c>
      <c r="H21" s="322"/>
      <c r="I21" s="321">
        <f>I23</f>
        <v>160864.75</v>
      </c>
      <c r="J21" s="322"/>
      <c r="K21" s="321">
        <f>K23</f>
        <v>98872.38</v>
      </c>
      <c r="L21" s="322"/>
      <c r="M21" s="326">
        <f>K21/I21*100</f>
        <v>61.463048927748311</v>
      </c>
    </row>
    <row r="22" spans="1:15" x14ac:dyDescent="0.25">
      <c r="A22" s="308" t="s">
        <v>17</v>
      </c>
      <c r="B22" s="309"/>
      <c r="C22" s="309"/>
      <c r="D22" s="309"/>
      <c r="E22" s="309"/>
      <c r="F22" s="310"/>
      <c r="G22" s="306"/>
      <c r="H22" s="307"/>
      <c r="I22" s="306"/>
      <c r="J22" s="307"/>
      <c r="K22" s="306"/>
      <c r="L22" s="307"/>
      <c r="M22" s="326"/>
    </row>
    <row r="23" spans="1:15" x14ac:dyDescent="0.25">
      <c r="A23" s="29">
        <v>32</v>
      </c>
      <c r="B23" s="30" t="s">
        <v>49</v>
      </c>
      <c r="C23" s="30"/>
      <c r="D23" s="30"/>
      <c r="E23" s="30"/>
      <c r="F23" s="31"/>
      <c r="G23" s="311">
        <f>SUM(G24:H46)</f>
        <v>160864.75</v>
      </c>
      <c r="H23" s="312"/>
      <c r="I23" s="311">
        <f>SUM(I24:J46)</f>
        <v>160864.75</v>
      </c>
      <c r="J23" s="312"/>
      <c r="K23" s="311">
        <f>SUM(K24:L46)</f>
        <v>98872.38</v>
      </c>
      <c r="L23" s="312"/>
      <c r="M23" s="59">
        <f>K23/I23*100</f>
        <v>61.463048927748311</v>
      </c>
    </row>
    <row r="24" spans="1:15" x14ac:dyDescent="0.25">
      <c r="A24" s="11">
        <v>3211</v>
      </c>
      <c r="B24" s="4" t="s">
        <v>51</v>
      </c>
      <c r="C24" s="4"/>
      <c r="D24" s="4"/>
      <c r="E24" s="4"/>
      <c r="F24" s="12"/>
      <c r="G24" s="176">
        <v>17000</v>
      </c>
      <c r="H24" s="177"/>
      <c r="I24" s="176">
        <v>17000</v>
      </c>
      <c r="J24" s="177"/>
      <c r="K24" s="176">
        <v>7459.07</v>
      </c>
      <c r="L24" s="177"/>
      <c r="M24" s="44">
        <f t="shared" ref="M24:M48" si="3">K24/I24*100</f>
        <v>43.876882352941173</v>
      </c>
      <c r="O24" s="25"/>
    </row>
    <row r="25" spans="1:15" x14ac:dyDescent="0.25">
      <c r="A25" s="11">
        <v>3212</v>
      </c>
      <c r="B25" s="4" t="s">
        <v>86</v>
      </c>
      <c r="C25" s="4"/>
      <c r="D25" s="4"/>
      <c r="E25" s="4"/>
      <c r="F25" s="12"/>
      <c r="G25" s="176">
        <v>34000</v>
      </c>
      <c r="H25" s="177"/>
      <c r="I25" s="176">
        <v>34000</v>
      </c>
      <c r="J25" s="177"/>
      <c r="K25" s="176">
        <v>23691.68</v>
      </c>
      <c r="L25" s="177"/>
      <c r="M25" s="44">
        <f t="shared" si="3"/>
        <v>69.681411764705885</v>
      </c>
    </row>
    <row r="26" spans="1:15" x14ac:dyDescent="0.25">
      <c r="A26" s="11">
        <v>3213</v>
      </c>
      <c r="B26" s="4" t="s">
        <v>53</v>
      </c>
      <c r="C26" s="4"/>
      <c r="D26" s="4"/>
      <c r="E26" s="4"/>
      <c r="F26" s="12"/>
      <c r="G26" s="176">
        <v>2500</v>
      </c>
      <c r="H26" s="177"/>
      <c r="I26" s="176">
        <v>2500</v>
      </c>
      <c r="J26" s="177"/>
      <c r="K26" s="176">
        <v>1042.21</v>
      </c>
      <c r="L26" s="177"/>
      <c r="M26" s="44">
        <f>K26/I26*100</f>
        <v>41.688400000000001</v>
      </c>
    </row>
    <row r="27" spans="1:15" x14ac:dyDescent="0.25">
      <c r="A27" s="11">
        <v>3214</v>
      </c>
      <c r="B27" s="4" t="s">
        <v>80</v>
      </c>
      <c r="C27" s="4"/>
      <c r="D27" s="4"/>
      <c r="E27" s="4"/>
      <c r="F27" s="12"/>
      <c r="G27" s="176">
        <v>1500</v>
      </c>
      <c r="H27" s="177"/>
      <c r="I27" s="176">
        <v>1500</v>
      </c>
      <c r="J27" s="177"/>
      <c r="K27" s="176">
        <v>310</v>
      </c>
      <c r="L27" s="177"/>
      <c r="M27" s="44">
        <f t="shared" si="3"/>
        <v>20.666666666666668</v>
      </c>
    </row>
    <row r="28" spans="1:15" x14ac:dyDescent="0.25">
      <c r="A28" s="11">
        <v>3221</v>
      </c>
      <c r="B28" s="4" t="s">
        <v>55</v>
      </c>
      <c r="C28" s="4"/>
      <c r="D28" s="4"/>
      <c r="E28" s="4"/>
      <c r="F28" s="12"/>
      <c r="G28" s="176">
        <v>9000</v>
      </c>
      <c r="H28" s="177"/>
      <c r="I28" s="176">
        <v>9000</v>
      </c>
      <c r="J28" s="177"/>
      <c r="K28" s="176">
        <v>5753.24</v>
      </c>
      <c r="L28" s="177"/>
      <c r="M28" s="44">
        <f t="shared" si="3"/>
        <v>63.924888888888887</v>
      </c>
    </row>
    <row r="29" spans="1:15" x14ac:dyDescent="0.25">
      <c r="A29" s="11">
        <v>3222</v>
      </c>
      <c r="B29" s="4" t="s">
        <v>87</v>
      </c>
      <c r="C29" s="4"/>
      <c r="D29" s="4"/>
      <c r="E29" s="4"/>
      <c r="F29" s="12"/>
      <c r="G29" s="176">
        <v>23500</v>
      </c>
      <c r="H29" s="177"/>
      <c r="I29" s="176">
        <v>23500</v>
      </c>
      <c r="J29" s="177"/>
      <c r="K29" s="176">
        <v>15328.5</v>
      </c>
      <c r="L29" s="177"/>
      <c r="M29" s="44">
        <f t="shared" si="3"/>
        <v>65.227659574468092</v>
      </c>
    </row>
    <row r="30" spans="1:15" x14ac:dyDescent="0.25">
      <c r="A30" s="11">
        <v>3223</v>
      </c>
      <c r="B30" s="4" t="s">
        <v>56</v>
      </c>
      <c r="C30" s="4"/>
      <c r="D30" s="4"/>
      <c r="E30" s="4"/>
      <c r="F30" s="12"/>
      <c r="G30" s="176">
        <v>32000</v>
      </c>
      <c r="H30" s="177"/>
      <c r="I30" s="176">
        <v>32000</v>
      </c>
      <c r="J30" s="177"/>
      <c r="K30" s="176">
        <v>22710</v>
      </c>
      <c r="L30" s="177"/>
      <c r="M30" s="44">
        <f t="shared" si="3"/>
        <v>70.96875</v>
      </c>
    </row>
    <row r="31" spans="1:15" x14ac:dyDescent="0.25">
      <c r="A31" s="11">
        <v>3224</v>
      </c>
      <c r="B31" s="4" t="s">
        <v>88</v>
      </c>
      <c r="C31" s="4"/>
      <c r="D31" s="4"/>
      <c r="E31" s="4"/>
      <c r="F31" s="12"/>
      <c r="G31" s="176">
        <v>5500</v>
      </c>
      <c r="H31" s="177"/>
      <c r="I31" s="176">
        <v>5500</v>
      </c>
      <c r="J31" s="177"/>
      <c r="K31" s="176">
        <v>840.66</v>
      </c>
      <c r="L31" s="177"/>
      <c r="M31" s="44">
        <f t="shared" si="3"/>
        <v>15.284727272727272</v>
      </c>
    </row>
    <row r="32" spans="1:15" x14ac:dyDescent="0.25">
      <c r="A32" s="11">
        <v>3225</v>
      </c>
      <c r="B32" s="4" t="s">
        <v>58</v>
      </c>
      <c r="C32" s="4"/>
      <c r="D32" s="4"/>
      <c r="E32" s="4"/>
      <c r="F32" s="12"/>
      <c r="G32" s="176">
        <v>800</v>
      </c>
      <c r="H32" s="177"/>
      <c r="I32" s="176">
        <v>800</v>
      </c>
      <c r="J32" s="177"/>
      <c r="K32" s="176">
        <v>275</v>
      </c>
      <c r="L32" s="177"/>
      <c r="M32" s="44">
        <f t="shared" si="3"/>
        <v>34.375</v>
      </c>
    </row>
    <row r="33" spans="1:13" x14ac:dyDescent="0.25">
      <c r="A33" s="11">
        <v>3227</v>
      </c>
      <c r="B33" s="4" t="s">
        <v>59</v>
      </c>
      <c r="C33" s="4"/>
      <c r="D33" s="4"/>
      <c r="E33" s="4"/>
      <c r="F33" s="12"/>
      <c r="G33" s="176">
        <v>550</v>
      </c>
      <c r="H33" s="177"/>
      <c r="I33" s="176">
        <v>550</v>
      </c>
      <c r="J33" s="177"/>
      <c r="K33" s="176">
        <v>526.47</v>
      </c>
      <c r="L33" s="177"/>
      <c r="M33" s="44">
        <f t="shared" si="3"/>
        <v>95.721818181818179</v>
      </c>
    </row>
    <row r="34" spans="1:13" x14ac:dyDescent="0.25">
      <c r="A34" s="11">
        <v>3231</v>
      </c>
      <c r="B34" s="4" t="s">
        <v>61</v>
      </c>
      <c r="C34" s="4"/>
      <c r="D34" s="4"/>
      <c r="E34" s="4"/>
      <c r="F34" s="12"/>
      <c r="G34" s="176">
        <v>8000</v>
      </c>
      <c r="H34" s="177"/>
      <c r="I34" s="176">
        <v>8000</v>
      </c>
      <c r="J34" s="177"/>
      <c r="K34" s="176">
        <v>4302.3100000000004</v>
      </c>
      <c r="L34" s="177"/>
      <c r="M34" s="44">
        <f t="shared" si="3"/>
        <v>53.778875000000006</v>
      </c>
    </row>
    <row r="35" spans="1:13" x14ac:dyDescent="0.25">
      <c r="A35" s="11">
        <v>3232</v>
      </c>
      <c r="B35" s="4" t="s">
        <v>62</v>
      </c>
      <c r="C35" s="4"/>
      <c r="D35" s="4"/>
      <c r="E35" s="4"/>
      <c r="F35" s="12"/>
      <c r="G35" s="176">
        <v>1300</v>
      </c>
      <c r="H35" s="177"/>
      <c r="I35" s="176">
        <v>1300</v>
      </c>
      <c r="J35" s="177"/>
      <c r="K35" s="176">
        <f>18836.33-14953</f>
        <v>3883.3300000000017</v>
      </c>
      <c r="L35" s="177"/>
      <c r="M35" s="44">
        <f t="shared" si="3"/>
        <v>298.71769230769246</v>
      </c>
    </row>
    <row r="36" spans="1:13" x14ac:dyDescent="0.25">
      <c r="A36" s="11">
        <v>3234</v>
      </c>
      <c r="B36" s="4" t="s">
        <v>82</v>
      </c>
      <c r="C36" s="4"/>
      <c r="D36" s="4"/>
      <c r="E36" s="4"/>
      <c r="F36" s="12"/>
      <c r="G36" s="176">
        <v>6800</v>
      </c>
      <c r="H36" s="177"/>
      <c r="I36" s="176">
        <v>6800</v>
      </c>
      <c r="J36" s="177"/>
      <c r="K36" s="176">
        <v>3819.98</v>
      </c>
      <c r="L36" s="177"/>
      <c r="M36" s="44">
        <f t="shared" si="3"/>
        <v>56.176176470588231</v>
      </c>
    </row>
    <row r="37" spans="1:13" x14ac:dyDescent="0.25">
      <c r="A37" s="11">
        <v>3235</v>
      </c>
      <c r="B37" s="4" t="s">
        <v>63</v>
      </c>
      <c r="C37" s="4"/>
      <c r="D37" s="4"/>
      <c r="E37" s="4"/>
      <c r="F37" s="12"/>
      <c r="G37" s="176">
        <v>2000</v>
      </c>
      <c r="H37" s="177"/>
      <c r="I37" s="176">
        <v>2000</v>
      </c>
      <c r="J37" s="177"/>
      <c r="K37" s="176">
        <v>1420.25</v>
      </c>
      <c r="L37" s="177"/>
      <c r="M37" s="44">
        <f t="shared" si="3"/>
        <v>71.012500000000003</v>
      </c>
    </row>
    <row r="38" spans="1:13" x14ac:dyDescent="0.25">
      <c r="A38" s="11">
        <v>3236</v>
      </c>
      <c r="B38" s="4" t="s">
        <v>64</v>
      </c>
      <c r="C38" s="4"/>
      <c r="D38" s="4"/>
      <c r="E38" s="4"/>
      <c r="F38" s="12"/>
      <c r="G38" s="176">
        <v>4500</v>
      </c>
      <c r="H38" s="177"/>
      <c r="I38" s="176">
        <v>4500</v>
      </c>
      <c r="J38" s="177"/>
      <c r="K38" s="176">
        <v>24.16</v>
      </c>
      <c r="L38" s="177"/>
      <c r="M38" s="44">
        <f t="shared" si="3"/>
        <v>0.53688888888888897</v>
      </c>
    </row>
    <row r="39" spans="1:13" x14ac:dyDescent="0.25">
      <c r="A39" s="11">
        <v>3237</v>
      </c>
      <c r="B39" s="4" t="s">
        <v>65</v>
      </c>
      <c r="C39" s="4"/>
      <c r="D39" s="4"/>
      <c r="E39" s="4"/>
      <c r="F39" s="12"/>
      <c r="G39" s="176">
        <v>2200</v>
      </c>
      <c r="H39" s="177"/>
      <c r="I39" s="176">
        <v>2200</v>
      </c>
      <c r="J39" s="177"/>
      <c r="K39" s="176">
        <v>715.36</v>
      </c>
      <c r="L39" s="177"/>
      <c r="M39" s="44">
        <f t="shared" si="3"/>
        <v>32.516363636363636</v>
      </c>
    </row>
    <row r="40" spans="1:13" x14ac:dyDescent="0.25">
      <c r="A40" s="11">
        <v>3238</v>
      </c>
      <c r="B40" s="4" t="s">
        <v>66</v>
      </c>
      <c r="C40" s="4"/>
      <c r="D40" s="4"/>
      <c r="E40" s="4"/>
      <c r="F40" s="12"/>
      <c r="G40" s="176">
        <v>5000</v>
      </c>
      <c r="H40" s="177"/>
      <c r="I40" s="176">
        <v>5000</v>
      </c>
      <c r="J40" s="177"/>
      <c r="K40" s="176">
        <v>2568.7600000000002</v>
      </c>
      <c r="L40" s="177"/>
      <c r="M40" s="44">
        <f t="shared" si="3"/>
        <v>51.375200000000007</v>
      </c>
    </row>
    <row r="41" spans="1:13" x14ac:dyDescent="0.25">
      <c r="A41" s="11">
        <v>3239</v>
      </c>
      <c r="B41" s="4" t="s">
        <v>67</v>
      </c>
      <c r="C41" s="4"/>
      <c r="D41" s="4"/>
      <c r="E41" s="4"/>
      <c r="F41" s="12"/>
      <c r="G41" s="176">
        <v>1800</v>
      </c>
      <c r="H41" s="177"/>
      <c r="I41" s="176">
        <v>1800</v>
      </c>
      <c r="J41" s="177"/>
      <c r="K41" s="176">
        <v>3331.3</v>
      </c>
      <c r="L41" s="177"/>
      <c r="M41" s="44">
        <f t="shared" si="3"/>
        <v>185.07222222222225</v>
      </c>
    </row>
    <row r="42" spans="1:13" x14ac:dyDescent="0.25">
      <c r="A42" s="11">
        <v>3292</v>
      </c>
      <c r="B42" s="4" t="s">
        <v>70</v>
      </c>
      <c r="C42" s="4"/>
      <c r="D42" s="4"/>
      <c r="E42" s="4"/>
      <c r="F42" s="12"/>
      <c r="G42" s="176">
        <v>300</v>
      </c>
      <c r="H42" s="177"/>
      <c r="I42" s="176">
        <v>300</v>
      </c>
      <c r="J42" s="177"/>
      <c r="K42" s="176">
        <v>133.08000000000001</v>
      </c>
      <c r="L42" s="177"/>
      <c r="M42" s="44">
        <f t="shared" si="3"/>
        <v>44.360000000000007</v>
      </c>
    </row>
    <row r="43" spans="1:13" x14ac:dyDescent="0.25">
      <c r="A43" s="11">
        <v>3293</v>
      </c>
      <c r="B43" s="4" t="s">
        <v>71</v>
      </c>
      <c r="C43" s="4"/>
      <c r="D43" s="4"/>
      <c r="E43" s="4"/>
      <c r="F43" s="12"/>
      <c r="G43" s="176">
        <v>600</v>
      </c>
      <c r="H43" s="177"/>
      <c r="I43" s="176">
        <v>600</v>
      </c>
      <c r="J43" s="177"/>
      <c r="K43" s="176"/>
      <c r="L43" s="177"/>
      <c r="M43" s="44">
        <f t="shared" si="3"/>
        <v>0</v>
      </c>
    </row>
    <row r="44" spans="1:13" x14ac:dyDescent="0.25">
      <c r="A44" s="11">
        <v>3294</v>
      </c>
      <c r="B44" s="4" t="s">
        <v>72</v>
      </c>
      <c r="C44" s="4"/>
      <c r="D44" s="4"/>
      <c r="E44" s="4"/>
      <c r="F44" s="12"/>
      <c r="G44" s="176">
        <v>250</v>
      </c>
      <c r="H44" s="177"/>
      <c r="I44" s="176">
        <v>250</v>
      </c>
      <c r="J44" s="177"/>
      <c r="K44" s="176">
        <v>175</v>
      </c>
      <c r="L44" s="177"/>
      <c r="M44" s="44">
        <f t="shared" si="3"/>
        <v>70</v>
      </c>
    </row>
    <row r="45" spans="1:13" s="74" customFormat="1" x14ac:dyDescent="0.25">
      <c r="A45" s="11">
        <v>3295</v>
      </c>
      <c r="B45" s="4" t="s">
        <v>73</v>
      </c>
      <c r="C45" s="4"/>
      <c r="D45" s="4"/>
      <c r="E45" s="4"/>
      <c r="F45" s="12"/>
      <c r="G45" s="176">
        <v>127.44</v>
      </c>
      <c r="H45" s="177"/>
      <c r="I45" s="176">
        <v>127.44</v>
      </c>
      <c r="J45" s="177"/>
      <c r="K45" s="176">
        <v>63.72</v>
      </c>
      <c r="L45" s="177"/>
      <c r="M45" s="44">
        <f t="shared" si="3"/>
        <v>50</v>
      </c>
    </row>
    <row r="46" spans="1:13" x14ac:dyDescent="0.25">
      <c r="A46" s="11">
        <v>3299</v>
      </c>
      <c r="B46" s="4" t="s">
        <v>68</v>
      </c>
      <c r="C46" s="4"/>
      <c r="D46" s="4"/>
      <c r="E46" s="4"/>
      <c r="F46" s="12"/>
      <c r="G46" s="176">
        <v>1637.31</v>
      </c>
      <c r="H46" s="177"/>
      <c r="I46" s="176">
        <v>1637.31</v>
      </c>
      <c r="J46" s="177"/>
      <c r="K46" s="176">
        <v>498.3</v>
      </c>
      <c r="L46" s="177"/>
      <c r="M46" s="44">
        <f t="shared" si="3"/>
        <v>30.434065632042806</v>
      </c>
    </row>
    <row r="47" spans="1:13" s="74" customFormat="1" x14ac:dyDescent="0.25">
      <c r="A47" s="136" t="s">
        <v>182</v>
      </c>
      <c r="B47" s="137"/>
      <c r="C47" s="137"/>
      <c r="D47" s="137"/>
      <c r="E47" s="137"/>
      <c r="F47" s="138"/>
      <c r="G47" s="321">
        <f>G49</f>
        <v>0</v>
      </c>
      <c r="H47" s="322"/>
      <c r="I47" s="321">
        <f t="shared" ref="I47" si="4">I49</f>
        <v>14953</v>
      </c>
      <c r="J47" s="322"/>
      <c r="K47" s="321">
        <f t="shared" ref="K47" si="5">K49</f>
        <v>14953</v>
      </c>
      <c r="L47" s="322"/>
      <c r="M47" s="326">
        <f t="shared" si="3"/>
        <v>100</v>
      </c>
    </row>
    <row r="48" spans="1:13" s="74" customFormat="1" x14ac:dyDescent="0.25">
      <c r="A48" s="133" t="s">
        <v>17</v>
      </c>
      <c r="B48" s="134"/>
      <c r="C48" s="134"/>
      <c r="D48" s="134"/>
      <c r="E48" s="134"/>
      <c r="F48" s="135"/>
      <c r="G48" s="306"/>
      <c r="H48" s="307"/>
      <c r="I48" s="306"/>
      <c r="J48" s="307"/>
      <c r="K48" s="306"/>
      <c r="L48" s="307"/>
      <c r="M48" s="326" t="e">
        <f t="shared" si="3"/>
        <v>#DIV/0!</v>
      </c>
    </row>
    <row r="49" spans="1:13" s="74" customFormat="1" x14ac:dyDescent="0.25">
      <c r="A49" s="29">
        <v>32</v>
      </c>
      <c r="B49" s="30" t="s">
        <v>49</v>
      </c>
      <c r="C49" s="30"/>
      <c r="D49" s="30"/>
      <c r="E49" s="30"/>
      <c r="F49" s="33"/>
      <c r="G49" s="311">
        <f>G50</f>
        <v>0</v>
      </c>
      <c r="H49" s="312"/>
      <c r="I49" s="311">
        <f t="shared" ref="I49" si="6">I50</f>
        <v>14953</v>
      </c>
      <c r="J49" s="312"/>
      <c r="K49" s="311">
        <f t="shared" ref="K49" si="7">K50</f>
        <v>14953</v>
      </c>
      <c r="L49" s="312"/>
      <c r="M49" s="76">
        <f>K49/I49*100</f>
        <v>100</v>
      </c>
    </row>
    <row r="50" spans="1:13" s="74" customFormat="1" x14ac:dyDescent="0.25">
      <c r="A50" s="11">
        <v>3232</v>
      </c>
      <c r="B50" s="4" t="s">
        <v>62</v>
      </c>
      <c r="C50" s="4"/>
      <c r="D50" s="141"/>
      <c r="E50" s="141"/>
      <c r="F50" s="142"/>
      <c r="G50" s="176"/>
      <c r="H50" s="177"/>
      <c r="I50" s="176">
        <v>14953</v>
      </c>
      <c r="J50" s="177"/>
      <c r="K50" s="176">
        <v>14953</v>
      </c>
      <c r="L50" s="177"/>
      <c r="M50" s="44">
        <f>K50/I50*100</f>
        <v>100</v>
      </c>
    </row>
    <row r="51" spans="1:13" x14ac:dyDescent="0.25">
      <c r="A51" s="136" t="s">
        <v>90</v>
      </c>
      <c r="B51" s="137"/>
      <c r="C51" s="137"/>
      <c r="D51" s="137"/>
      <c r="E51" s="137"/>
      <c r="F51" s="138"/>
      <c r="G51" s="321">
        <f t="shared" ref="G51" si="8">G53+G57</f>
        <v>2152200</v>
      </c>
      <c r="H51" s="322"/>
      <c r="I51" s="321">
        <f t="shared" ref="I51" si="9">I53+I57</f>
        <v>2152200</v>
      </c>
      <c r="J51" s="322"/>
      <c r="K51" s="321">
        <f t="shared" ref="K51" si="10">K53+K57</f>
        <v>1168293.1300000001</v>
      </c>
      <c r="L51" s="322"/>
      <c r="M51" s="326">
        <f t="shared" ref="M51:M52" si="11">K51/I51*100</f>
        <v>54.283669268655331</v>
      </c>
    </row>
    <row r="52" spans="1:13" x14ac:dyDescent="0.25">
      <c r="A52" s="133" t="s">
        <v>91</v>
      </c>
      <c r="B52" s="134"/>
      <c r="C52" s="134"/>
      <c r="D52" s="134"/>
      <c r="E52" s="134"/>
      <c r="F52" s="135"/>
      <c r="G52" s="306"/>
      <c r="H52" s="307"/>
      <c r="I52" s="306"/>
      <c r="J52" s="307"/>
      <c r="K52" s="306"/>
      <c r="L52" s="307"/>
      <c r="M52" s="326" t="e">
        <f t="shared" si="11"/>
        <v>#DIV/0!</v>
      </c>
    </row>
    <row r="53" spans="1:13" x14ac:dyDescent="0.25">
      <c r="A53" s="29">
        <v>31</v>
      </c>
      <c r="B53" s="30" t="s">
        <v>43</v>
      </c>
      <c r="C53" s="30"/>
      <c r="D53" s="30"/>
      <c r="E53" s="30"/>
      <c r="F53" s="33"/>
      <c r="G53" s="311">
        <f t="shared" ref="G53" si="12">G54+G56+G55</f>
        <v>2150000</v>
      </c>
      <c r="H53" s="312"/>
      <c r="I53" s="311">
        <f t="shared" ref="I53" si="13">I54+I56+I55</f>
        <v>2150000</v>
      </c>
      <c r="J53" s="312"/>
      <c r="K53" s="311">
        <f t="shared" ref="K53" si="14">K54+K56+K55</f>
        <v>1166961.05</v>
      </c>
      <c r="L53" s="312"/>
      <c r="M53" s="76">
        <f>K53/I53*100</f>
        <v>54.277258139534887</v>
      </c>
    </row>
    <row r="54" spans="1:13" x14ac:dyDescent="0.25">
      <c r="A54" s="10">
        <v>3111</v>
      </c>
      <c r="B54" s="32" t="s">
        <v>45</v>
      </c>
      <c r="C54" s="32"/>
      <c r="D54" s="32"/>
      <c r="E54" s="32"/>
      <c r="F54" s="33"/>
      <c r="G54" s="156">
        <v>1800000</v>
      </c>
      <c r="H54" s="157"/>
      <c r="I54" s="156">
        <v>1800000</v>
      </c>
      <c r="J54" s="157"/>
      <c r="K54" s="156">
        <v>975619.35</v>
      </c>
      <c r="L54" s="157"/>
      <c r="M54" s="60">
        <f>K54/I54*100</f>
        <v>54.201074999999996</v>
      </c>
    </row>
    <row r="55" spans="1:13" x14ac:dyDescent="0.25">
      <c r="A55" s="11">
        <v>3121</v>
      </c>
      <c r="B55" s="4" t="s">
        <v>46</v>
      </c>
      <c r="C55" s="4"/>
      <c r="D55" s="4"/>
      <c r="E55" s="4"/>
      <c r="F55" s="17"/>
      <c r="G55" s="176">
        <v>70000</v>
      </c>
      <c r="H55" s="177"/>
      <c r="I55" s="176">
        <v>70000</v>
      </c>
      <c r="J55" s="177"/>
      <c r="K55" s="176">
        <v>30364.45</v>
      </c>
      <c r="L55" s="177"/>
      <c r="M55" s="37">
        <f>K55/I55*100</f>
        <v>43.377785714285714</v>
      </c>
    </row>
    <row r="56" spans="1:13" x14ac:dyDescent="0.25">
      <c r="A56" s="11">
        <v>3132</v>
      </c>
      <c r="B56" s="4" t="s">
        <v>89</v>
      </c>
      <c r="C56" s="4"/>
      <c r="D56" s="4"/>
      <c r="E56" s="4"/>
      <c r="F56" s="17"/>
      <c r="G56" s="176">
        <v>280000</v>
      </c>
      <c r="H56" s="177"/>
      <c r="I56" s="176">
        <v>280000</v>
      </c>
      <c r="J56" s="177"/>
      <c r="K56" s="176">
        <v>160977.25</v>
      </c>
      <c r="L56" s="177"/>
      <c r="M56" s="37">
        <f>K56/I56*100</f>
        <v>57.491875</v>
      </c>
    </row>
    <row r="57" spans="1:13" x14ac:dyDescent="0.25">
      <c r="A57" s="29">
        <v>32</v>
      </c>
      <c r="B57" s="30" t="s">
        <v>49</v>
      </c>
      <c r="C57" s="30"/>
      <c r="D57" s="30"/>
      <c r="E57" s="30"/>
      <c r="F57" s="33"/>
      <c r="G57" s="311">
        <f t="shared" ref="G57" si="15">G58</f>
        <v>2200</v>
      </c>
      <c r="H57" s="312"/>
      <c r="I57" s="311">
        <f t="shared" ref="I57" si="16">I58</f>
        <v>2200</v>
      </c>
      <c r="J57" s="312"/>
      <c r="K57" s="311">
        <f t="shared" ref="K57" si="17">K58</f>
        <v>1332.08</v>
      </c>
      <c r="L57" s="312"/>
      <c r="M57" s="37">
        <f>K57/I57*100</f>
        <v>60.549090909090907</v>
      </c>
    </row>
    <row r="58" spans="1:13" x14ac:dyDescent="0.25">
      <c r="A58" s="11">
        <v>3295</v>
      </c>
      <c r="B58" s="4" t="s">
        <v>92</v>
      </c>
      <c r="C58" s="4"/>
      <c r="D58" s="4"/>
      <c r="E58" s="4"/>
      <c r="F58" s="17"/>
      <c r="G58" s="176">
        <v>2200</v>
      </c>
      <c r="H58" s="177"/>
      <c r="I58" s="176">
        <v>2200</v>
      </c>
      <c r="J58" s="177"/>
      <c r="K58" s="176">
        <v>1332.08</v>
      </c>
      <c r="L58" s="177"/>
      <c r="M58" s="37">
        <f t="shared" ref="M58" si="18">K58/I58*100</f>
        <v>60.549090909090907</v>
      </c>
    </row>
    <row r="59" spans="1:13" x14ac:dyDescent="0.25">
      <c r="A59" s="337" t="s">
        <v>94</v>
      </c>
      <c r="B59" s="338"/>
      <c r="C59" s="338"/>
      <c r="D59" s="338"/>
      <c r="E59" s="338"/>
      <c r="F59" s="339"/>
      <c r="G59" s="323">
        <f>G60+G97+G101</f>
        <v>55250</v>
      </c>
      <c r="H59" s="324"/>
      <c r="I59" s="323">
        <f t="shared" ref="I59" si="19">I60+I97+I101</f>
        <v>57260.02</v>
      </c>
      <c r="J59" s="324"/>
      <c r="K59" s="323">
        <f t="shared" ref="K59" si="20">K60+K97+K101</f>
        <v>20821.150000000001</v>
      </c>
      <c r="L59" s="324"/>
      <c r="M59" s="41">
        <f t="shared" ref="M59" si="21">K59/I59*100</f>
        <v>36.362456736829643</v>
      </c>
    </row>
    <row r="60" spans="1:13" x14ac:dyDescent="0.25">
      <c r="A60" s="301" t="s">
        <v>95</v>
      </c>
      <c r="B60" s="302"/>
      <c r="C60" s="302"/>
      <c r="D60" s="302"/>
      <c r="E60" s="302"/>
      <c r="F60" s="303"/>
      <c r="G60" s="306">
        <f>G62+G70+G75+G82+G88+G85</f>
        <v>55250</v>
      </c>
      <c r="H60" s="307"/>
      <c r="I60" s="306">
        <f>I62+I70+I75+I82+I88+I85</f>
        <v>55250</v>
      </c>
      <c r="J60" s="307"/>
      <c r="K60" s="306">
        <f>K62+K70+K75+K82+K88+K85</f>
        <v>18811.13</v>
      </c>
      <c r="L60" s="307"/>
      <c r="M60" s="325">
        <f>K60/I60*100</f>
        <v>34.047294117647056</v>
      </c>
    </row>
    <row r="61" spans="1:13" x14ac:dyDescent="0.25">
      <c r="A61" s="331"/>
      <c r="B61" s="332"/>
      <c r="C61" s="332"/>
      <c r="D61" s="332"/>
      <c r="E61" s="332"/>
      <c r="F61" s="333"/>
      <c r="G61" s="321"/>
      <c r="H61" s="322"/>
      <c r="I61" s="321"/>
      <c r="J61" s="322"/>
      <c r="K61" s="321"/>
      <c r="L61" s="322"/>
      <c r="M61" s="327"/>
    </row>
    <row r="62" spans="1:13" x14ac:dyDescent="0.25">
      <c r="A62" s="301" t="s">
        <v>100</v>
      </c>
      <c r="B62" s="302"/>
      <c r="C62" s="302"/>
      <c r="D62" s="302"/>
      <c r="E62" s="302"/>
      <c r="F62" s="303"/>
      <c r="G62" s="306">
        <f>G63</f>
        <v>7000</v>
      </c>
      <c r="H62" s="307"/>
      <c r="I62" s="306">
        <f t="shared" ref="I62" si="22">I63</f>
        <v>7000</v>
      </c>
      <c r="J62" s="307"/>
      <c r="K62" s="306">
        <f t="shared" ref="K62" si="23">K63</f>
        <v>0</v>
      </c>
      <c r="L62" s="307"/>
      <c r="M62" s="61">
        <f t="shared" ref="M62:M69" si="24">K62/I62*100</f>
        <v>0</v>
      </c>
    </row>
    <row r="63" spans="1:13" x14ac:dyDescent="0.25">
      <c r="A63" s="29">
        <v>32</v>
      </c>
      <c r="B63" s="30" t="s">
        <v>49</v>
      </c>
      <c r="C63" s="30"/>
      <c r="D63" s="30"/>
      <c r="E63" s="30"/>
      <c r="F63" s="33"/>
      <c r="G63" s="311">
        <f>SUM(G64:H69)</f>
        <v>7000</v>
      </c>
      <c r="H63" s="312"/>
      <c r="I63" s="311">
        <f t="shared" ref="I63" si="25">SUM(I64:J69)</f>
        <v>7000</v>
      </c>
      <c r="J63" s="312"/>
      <c r="K63" s="311">
        <f t="shared" ref="K63" si="26">SUM(K64:L69)</f>
        <v>0</v>
      </c>
      <c r="L63" s="312"/>
      <c r="M63" s="64">
        <f t="shared" si="24"/>
        <v>0</v>
      </c>
    </row>
    <row r="64" spans="1:13" x14ac:dyDescent="0.25">
      <c r="A64" s="11">
        <v>3222</v>
      </c>
      <c r="B64" s="4" t="s">
        <v>81</v>
      </c>
      <c r="C64" s="4"/>
      <c r="D64" s="4"/>
      <c r="E64" s="4"/>
      <c r="F64" s="12"/>
      <c r="G64" s="176">
        <v>1500</v>
      </c>
      <c r="H64" s="177"/>
      <c r="I64" s="176">
        <v>1500</v>
      </c>
      <c r="J64" s="177"/>
      <c r="K64" s="176"/>
      <c r="L64" s="177"/>
      <c r="M64" s="37">
        <f t="shared" si="24"/>
        <v>0</v>
      </c>
    </row>
    <row r="65" spans="1:13" s="74" customFormat="1" x14ac:dyDescent="0.25">
      <c r="A65" s="11">
        <v>3225</v>
      </c>
      <c r="B65" s="4" t="s">
        <v>58</v>
      </c>
      <c r="C65" s="4"/>
      <c r="D65" s="4"/>
      <c r="E65" s="4"/>
      <c r="F65" s="12"/>
      <c r="G65" s="176">
        <v>1000</v>
      </c>
      <c r="H65" s="177"/>
      <c r="I65" s="176">
        <v>1000</v>
      </c>
      <c r="J65" s="177"/>
      <c r="K65" s="176"/>
      <c r="L65" s="177"/>
      <c r="M65" s="37">
        <f t="shared" si="24"/>
        <v>0</v>
      </c>
    </row>
    <row r="66" spans="1:13" s="74" customFormat="1" x14ac:dyDescent="0.25">
      <c r="A66" s="11">
        <v>3232</v>
      </c>
      <c r="B66" s="4" t="s">
        <v>62</v>
      </c>
      <c r="C66" s="4"/>
      <c r="D66" s="4"/>
      <c r="E66" s="4"/>
      <c r="F66" s="12"/>
      <c r="G66" s="176">
        <v>2000</v>
      </c>
      <c r="H66" s="177"/>
      <c r="I66" s="176">
        <v>2000</v>
      </c>
      <c r="J66" s="177"/>
      <c r="K66" s="176"/>
      <c r="L66" s="177"/>
      <c r="M66" s="37">
        <f t="shared" si="24"/>
        <v>0</v>
      </c>
    </row>
    <row r="67" spans="1:13" s="74" customFormat="1" x14ac:dyDescent="0.25">
      <c r="A67" s="11">
        <v>3234</v>
      </c>
      <c r="B67" s="4" t="s">
        <v>82</v>
      </c>
      <c r="C67" s="4"/>
      <c r="D67" s="4"/>
      <c r="E67" s="4"/>
      <c r="F67" s="12"/>
      <c r="G67" s="176">
        <v>1000</v>
      </c>
      <c r="H67" s="177"/>
      <c r="I67" s="176">
        <v>1000</v>
      </c>
      <c r="J67" s="177"/>
      <c r="K67" s="176"/>
      <c r="L67" s="177"/>
      <c r="M67" s="37">
        <f t="shared" si="24"/>
        <v>0</v>
      </c>
    </row>
    <row r="68" spans="1:13" s="74" customFormat="1" x14ac:dyDescent="0.25">
      <c r="A68" s="11">
        <v>3237</v>
      </c>
      <c r="B68" s="4" t="s">
        <v>65</v>
      </c>
      <c r="C68" s="4"/>
      <c r="D68" s="4"/>
      <c r="E68" s="4"/>
      <c r="F68" s="12"/>
      <c r="G68" s="176">
        <v>1000</v>
      </c>
      <c r="H68" s="177"/>
      <c r="I68" s="176">
        <v>1000</v>
      </c>
      <c r="J68" s="177"/>
      <c r="K68" s="176"/>
      <c r="L68" s="177"/>
      <c r="M68" s="37">
        <f t="shared" si="24"/>
        <v>0</v>
      </c>
    </row>
    <row r="69" spans="1:13" s="74" customFormat="1" x14ac:dyDescent="0.25">
      <c r="A69" s="11">
        <v>3239</v>
      </c>
      <c r="B69" s="4" t="s">
        <v>67</v>
      </c>
      <c r="C69" s="4"/>
      <c r="D69" s="4"/>
      <c r="E69" s="4"/>
      <c r="F69" s="12"/>
      <c r="G69" s="176">
        <v>500</v>
      </c>
      <c r="H69" s="177"/>
      <c r="I69" s="176">
        <v>500</v>
      </c>
      <c r="J69" s="177"/>
      <c r="K69" s="176"/>
      <c r="L69" s="177"/>
      <c r="M69" s="37">
        <f t="shared" si="24"/>
        <v>0</v>
      </c>
    </row>
    <row r="70" spans="1:13" x14ac:dyDescent="0.25">
      <c r="A70" s="301" t="s">
        <v>99</v>
      </c>
      <c r="B70" s="302"/>
      <c r="C70" s="302"/>
      <c r="D70" s="302"/>
      <c r="E70" s="302"/>
      <c r="F70" s="303"/>
      <c r="G70" s="306">
        <f>G71</f>
        <v>1000</v>
      </c>
      <c r="H70" s="307"/>
      <c r="I70" s="306">
        <f>I71</f>
        <v>1000</v>
      </c>
      <c r="J70" s="307"/>
      <c r="K70" s="306">
        <f>K71</f>
        <v>0</v>
      </c>
      <c r="L70" s="307"/>
      <c r="M70" s="61">
        <f t="shared" ref="M70:M96" si="27">K70/I70*100</f>
        <v>0</v>
      </c>
    </row>
    <row r="71" spans="1:13" x14ac:dyDescent="0.25">
      <c r="A71" s="29">
        <v>32</v>
      </c>
      <c r="B71" s="30" t="s">
        <v>49</v>
      </c>
      <c r="C71" s="30"/>
      <c r="D71" s="30"/>
      <c r="E71" s="30"/>
      <c r="F71" s="33"/>
      <c r="G71" s="311">
        <f>SUM(G72:H74)</f>
        <v>1000</v>
      </c>
      <c r="H71" s="312"/>
      <c r="I71" s="311">
        <f>SUM(I72:J74)</f>
        <v>1000</v>
      </c>
      <c r="J71" s="312"/>
      <c r="K71" s="311">
        <f>SUM(K72:L74)</f>
        <v>0</v>
      </c>
      <c r="L71" s="312"/>
      <c r="M71" s="64">
        <f>K71/I71*100</f>
        <v>0</v>
      </c>
    </row>
    <row r="72" spans="1:13" x14ac:dyDescent="0.25">
      <c r="A72" s="22">
        <v>3221</v>
      </c>
      <c r="B72" s="3" t="s">
        <v>55</v>
      </c>
      <c r="C72" s="3"/>
      <c r="D72" s="3"/>
      <c r="E72" s="3"/>
      <c r="F72" s="23"/>
      <c r="G72" s="313">
        <v>200</v>
      </c>
      <c r="H72" s="314"/>
      <c r="I72" s="313">
        <v>200</v>
      </c>
      <c r="J72" s="314"/>
      <c r="K72" s="313"/>
      <c r="L72" s="314"/>
      <c r="M72" s="60">
        <f t="shared" si="27"/>
        <v>0</v>
      </c>
    </row>
    <row r="73" spans="1:13" s="74" customFormat="1" x14ac:dyDescent="0.25">
      <c r="A73" s="11">
        <v>3235</v>
      </c>
      <c r="B73" s="4" t="s">
        <v>63</v>
      </c>
      <c r="C73" s="4"/>
      <c r="D73" s="4"/>
      <c r="E73" s="4"/>
      <c r="F73" s="12"/>
      <c r="G73" s="176">
        <v>200</v>
      </c>
      <c r="H73" s="177"/>
      <c r="I73" s="176">
        <v>200</v>
      </c>
      <c r="J73" s="177"/>
      <c r="K73" s="176"/>
      <c r="L73" s="177"/>
      <c r="M73" s="37">
        <f t="shared" si="27"/>
        <v>0</v>
      </c>
    </row>
    <row r="74" spans="1:13" s="74" customFormat="1" x14ac:dyDescent="0.25">
      <c r="A74" s="11">
        <v>3238</v>
      </c>
      <c r="B74" s="4" t="s">
        <v>66</v>
      </c>
      <c r="C74" s="4"/>
      <c r="D74" s="4"/>
      <c r="E74" s="4"/>
      <c r="F74" s="12"/>
      <c r="G74" s="176">
        <v>600</v>
      </c>
      <c r="H74" s="177"/>
      <c r="I74" s="176">
        <v>600</v>
      </c>
      <c r="J74" s="177"/>
      <c r="K74" s="176"/>
      <c r="L74" s="177"/>
      <c r="M74" s="37">
        <f t="shared" si="27"/>
        <v>0</v>
      </c>
    </row>
    <row r="75" spans="1:13" x14ac:dyDescent="0.25">
      <c r="A75" s="301" t="s">
        <v>96</v>
      </c>
      <c r="B75" s="302"/>
      <c r="C75" s="302"/>
      <c r="D75" s="302"/>
      <c r="E75" s="302"/>
      <c r="F75" s="303"/>
      <c r="G75" s="306">
        <f>G76+G80</f>
        <v>22250</v>
      </c>
      <c r="H75" s="307"/>
      <c r="I75" s="306">
        <f>I76+I80</f>
        <v>22250</v>
      </c>
      <c r="J75" s="307"/>
      <c r="K75" s="306">
        <f>K76+K80</f>
        <v>14743.41</v>
      </c>
      <c r="L75" s="307"/>
      <c r="M75" s="61">
        <f t="shared" ref="M75" si="28">K75/I75*100</f>
        <v>66.262516853932581</v>
      </c>
    </row>
    <row r="76" spans="1:13" x14ac:dyDescent="0.25">
      <c r="A76" s="16">
        <v>32</v>
      </c>
      <c r="B76" s="5" t="s">
        <v>49</v>
      </c>
      <c r="C76" s="5"/>
      <c r="D76" s="5"/>
      <c r="E76" s="5"/>
      <c r="F76" s="17"/>
      <c r="G76" s="282">
        <f>SUM(G77:H79)</f>
        <v>21250</v>
      </c>
      <c r="H76" s="283"/>
      <c r="I76" s="282">
        <f>SUM(I77:J79)</f>
        <v>21250</v>
      </c>
      <c r="J76" s="283"/>
      <c r="K76" s="282">
        <f>SUM(K77:L79)</f>
        <v>14743.41</v>
      </c>
      <c r="L76" s="283"/>
      <c r="M76" s="36">
        <f>K76/I76*100</f>
        <v>69.380752941176468</v>
      </c>
    </row>
    <row r="77" spans="1:13" x14ac:dyDescent="0.25">
      <c r="A77" s="11">
        <v>3231</v>
      </c>
      <c r="B77" s="4" t="s">
        <v>61</v>
      </c>
      <c r="C77" s="4"/>
      <c r="D77" s="4"/>
      <c r="E77" s="4"/>
      <c r="F77" s="12"/>
      <c r="G77" s="176">
        <v>20000</v>
      </c>
      <c r="H77" s="177"/>
      <c r="I77" s="176">
        <v>20000</v>
      </c>
      <c r="J77" s="177"/>
      <c r="K77" s="176">
        <v>11992.8</v>
      </c>
      <c r="L77" s="177"/>
      <c r="M77" s="37">
        <f t="shared" si="27"/>
        <v>59.963999999999999</v>
      </c>
    </row>
    <row r="78" spans="1:13" x14ac:dyDescent="0.25">
      <c r="A78" s="11">
        <v>3291</v>
      </c>
      <c r="B78" s="4" t="s">
        <v>97</v>
      </c>
      <c r="C78" s="4"/>
      <c r="D78" s="4"/>
      <c r="E78" s="4"/>
      <c r="F78" s="12"/>
      <c r="G78" s="176">
        <v>250</v>
      </c>
      <c r="H78" s="177"/>
      <c r="I78" s="176">
        <v>250</v>
      </c>
      <c r="J78" s="177"/>
      <c r="K78" s="176">
        <f>57.38+85.3</f>
        <v>142.68</v>
      </c>
      <c r="L78" s="177"/>
      <c r="M78" s="37">
        <f t="shared" si="27"/>
        <v>57.072000000000003</v>
      </c>
    </row>
    <row r="79" spans="1:13" s="74" customFormat="1" x14ac:dyDescent="0.25">
      <c r="A79" s="11">
        <v>3295</v>
      </c>
      <c r="B79" s="4" t="s">
        <v>73</v>
      </c>
      <c r="C79" s="4"/>
      <c r="D79" s="4"/>
      <c r="E79" s="4"/>
      <c r="F79" s="12"/>
      <c r="G79" s="176">
        <v>1000</v>
      </c>
      <c r="H79" s="177"/>
      <c r="I79" s="176">
        <v>1000</v>
      </c>
      <c r="J79" s="177"/>
      <c r="K79" s="176">
        <v>2607.9299999999998</v>
      </c>
      <c r="L79" s="177"/>
      <c r="M79" s="37">
        <f t="shared" si="27"/>
        <v>260.79299999999995</v>
      </c>
    </row>
    <row r="80" spans="1:13" x14ac:dyDescent="0.25">
      <c r="A80" s="29">
        <v>42</v>
      </c>
      <c r="B80" s="30" t="s">
        <v>74</v>
      </c>
      <c r="C80" s="30"/>
      <c r="D80" s="30"/>
      <c r="E80" s="30"/>
      <c r="F80" s="33"/>
      <c r="G80" s="311">
        <f t="shared" ref="G80" si="29">G81</f>
        <v>1000</v>
      </c>
      <c r="H80" s="312"/>
      <c r="I80" s="311">
        <f t="shared" ref="I80" si="30">I81</f>
        <v>1000</v>
      </c>
      <c r="J80" s="312"/>
      <c r="K80" s="311">
        <f t="shared" ref="K80" si="31">K81</f>
        <v>0</v>
      </c>
      <c r="L80" s="312"/>
      <c r="M80" s="64">
        <f>K80/I80*100</f>
        <v>0</v>
      </c>
    </row>
    <row r="81" spans="1:13" x14ac:dyDescent="0.25">
      <c r="A81" s="22">
        <v>4241</v>
      </c>
      <c r="B81" s="3" t="s">
        <v>98</v>
      </c>
      <c r="C81" s="3"/>
      <c r="D81" s="3"/>
      <c r="E81" s="3"/>
      <c r="F81" s="23"/>
      <c r="G81" s="299">
        <v>1000</v>
      </c>
      <c r="H81" s="300"/>
      <c r="I81" s="299">
        <v>1000</v>
      </c>
      <c r="J81" s="300"/>
      <c r="K81" s="299"/>
      <c r="L81" s="300"/>
      <c r="M81" s="37">
        <f t="shared" si="27"/>
        <v>0</v>
      </c>
    </row>
    <row r="82" spans="1:13" x14ac:dyDescent="0.25">
      <c r="A82" s="301" t="s">
        <v>102</v>
      </c>
      <c r="B82" s="302"/>
      <c r="C82" s="302"/>
      <c r="D82" s="302"/>
      <c r="E82" s="302"/>
      <c r="F82" s="303"/>
      <c r="G82" s="306">
        <f t="shared" ref="G82:G86" si="32">G83</f>
        <v>1000</v>
      </c>
      <c r="H82" s="307"/>
      <c r="I82" s="306">
        <f t="shared" ref="I82" si="33">I83</f>
        <v>1000</v>
      </c>
      <c r="J82" s="307"/>
      <c r="K82" s="306">
        <f t="shared" ref="K82" si="34">K83</f>
        <v>0</v>
      </c>
      <c r="L82" s="307"/>
      <c r="M82" s="61">
        <f t="shared" si="27"/>
        <v>0</v>
      </c>
    </row>
    <row r="83" spans="1:13" x14ac:dyDescent="0.25">
      <c r="A83" s="29">
        <v>42</v>
      </c>
      <c r="B83" s="30" t="s">
        <v>74</v>
      </c>
      <c r="C83" s="30"/>
      <c r="D83" s="30"/>
      <c r="E83" s="30"/>
      <c r="F83" s="33"/>
      <c r="G83" s="311">
        <f t="shared" si="32"/>
        <v>1000</v>
      </c>
      <c r="H83" s="312"/>
      <c r="I83" s="311">
        <f t="shared" ref="I83" si="35">I84</f>
        <v>1000</v>
      </c>
      <c r="J83" s="312"/>
      <c r="K83" s="311">
        <f t="shared" ref="K83" si="36">K84</f>
        <v>0</v>
      </c>
      <c r="L83" s="312"/>
      <c r="M83" s="64">
        <f>K83/I83*100</f>
        <v>0</v>
      </c>
    </row>
    <row r="84" spans="1:13" x14ac:dyDescent="0.25">
      <c r="A84" s="22">
        <v>4241</v>
      </c>
      <c r="B84" s="3" t="s">
        <v>98</v>
      </c>
      <c r="C84" s="3"/>
      <c r="D84" s="3"/>
      <c r="E84" s="3"/>
      <c r="F84" s="23"/>
      <c r="G84" s="313">
        <v>1000</v>
      </c>
      <c r="H84" s="314"/>
      <c r="I84" s="313">
        <v>1000</v>
      </c>
      <c r="J84" s="314"/>
      <c r="K84" s="313"/>
      <c r="L84" s="314"/>
      <c r="M84" s="60">
        <f t="shared" si="27"/>
        <v>0</v>
      </c>
    </row>
    <row r="85" spans="1:13" s="74" customFormat="1" x14ac:dyDescent="0.25">
      <c r="A85" s="301" t="s">
        <v>180</v>
      </c>
      <c r="B85" s="302"/>
      <c r="C85" s="302"/>
      <c r="D85" s="302"/>
      <c r="E85" s="302"/>
      <c r="F85" s="303"/>
      <c r="G85" s="306">
        <f t="shared" si="32"/>
        <v>4000</v>
      </c>
      <c r="H85" s="307"/>
      <c r="I85" s="306">
        <f t="shared" ref="I85:I86" si="37">I86</f>
        <v>4000</v>
      </c>
      <c r="J85" s="307"/>
      <c r="K85" s="306">
        <f t="shared" ref="K85:K86" si="38">K86</f>
        <v>0</v>
      </c>
      <c r="L85" s="307"/>
      <c r="M85" s="139">
        <f t="shared" ref="M85" si="39">K85/I85*100</f>
        <v>0</v>
      </c>
    </row>
    <row r="86" spans="1:13" s="74" customFormat="1" x14ac:dyDescent="0.25">
      <c r="A86" s="29">
        <v>42</v>
      </c>
      <c r="B86" s="30" t="s">
        <v>74</v>
      </c>
      <c r="C86" s="30"/>
      <c r="D86" s="30"/>
      <c r="E86" s="30"/>
      <c r="F86" s="33"/>
      <c r="G86" s="311">
        <f t="shared" si="32"/>
        <v>4000</v>
      </c>
      <c r="H86" s="312"/>
      <c r="I86" s="311">
        <f t="shared" si="37"/>
        <v>4000</v>
      </c>
      <c r="J86" s="312"/>
      <c r="K86" s="311">
        <f t="shared" si="38"/>
        <v>0</v>
      </c>
      <c r="L86" s="312"/>
      <c r="M86" s="76">
        <f>K86/I86*100</f>
        <v>0</v>
      </c>
    </row>
    <row r="87" spans="1:13" s="74" customFormat="1" x14ac:dyDescent="0.25">
      <c r="A87" s="22">
        <v>4241</v>
      </c>
      <c r="B87" s="3" t="s">
        <v>181</v>
      </c>
      <c r="C87" s="3"/>
      <c r="D87" s="3"/>
      <c r="E87" s="3"/>
      <c r="F87" s="23"/>
      <c r="G87" s="313">
        <v>4000</v>
      </c>
      <c r="H87" s="314"/>
      <c r="I87" s="313">
        <v>4000</v>
      </c>
      <c r="J87" s="314"/>
      <c r="K87" s="313"/>
      <c r="L87" s="314"/>
      <c r="M87" s="63">
        <f t="shared" ref="M87" si="40">K87/I87*100</f>
        <v>0</v>
      </c>
    </row>
    <row r="88" spans="1:13" x14ac:dyDescent="0.25">
      <c r="A88" s="301" t="s">
        <v>101</v>
      </c>
      <c r="B88" s="302"/>
      <c r="C88" s="302"/>
      <c r="D88" s="302"/>
      <c r="E88" s="302"/>
      <c r="F88" s="303"/>
      <c r="G88" s="306">
        <f>SUM(G89+G94)</f>
        <v>20000</v>
      </c>
      <c r="H88" s="307"/>
      <c r="I88" s="306">
        <f>SUM(I89+I94)</f>
        <v>20000</v>
      </c>
      <c r="J88" s="307"/>
      <c r="K88" s="306">
        <f>SUM(K89+K94)</f>
        <v>4067.72</v>
      </c>
      <c r="L88" s="307"/>
      <c r="M88" s="61">
        <f t="shared" si="27"/>
        <v>20.3386</v>
      </c>
    </row>
    <row r="89" spans="1:13" x14ac:dyDescent="0.25">
      <c r="A89" s="16">
        <v>32</v>
      </c>
      <c r="B89" s="5" t="s">
        <v>49</v>
      </c>
      <c r="C89" s="5"/>
      <c r="D89" s="5"/>
      <c r="E89" s="5"/>
      <c r="F89" s="17"/>
      <c r="G89" s="282">
        <f>G90+G91+G92+G93</f>
        <v>8000</v>
      </c>
      <c r="H89" s="283"/>
      <c r="I89" s="282">
        <f t="shared" ref="I89" si="41">I90+I91+I92+I93</f>
        <v>8000</v>
      </c>
      <c r="J89" s="283"/>
      <c r="K89" s="282">
        <f t="shared" ref="K89" si="42">K90+K91+K92+K93</f>
        <v>1799.25</v>
      </c>
      <c r="L89" s="283"/>
      <c r="M89" s="36">
        <f>K89/I89*100</f>
        <v>22.490625000000001</v>
      </c>
    </row>
    <row r="90" spans="1:13" x14ac:dyDescent="0.25">
      <c r="A90" s="10">
        <v>3211</v>
      </c>
      <c r="B90" s="32" t="s">
        <v>51</v>
      </c>
      <c r="C90" s="32"/>
      <c r="D90" s="32"/>
      <c r="E90" s="32"/>
      <c r="F90" s="31"/>
      <c r="G90" s="156">
        <v>2000</v>
      </c>
      <c r="H90" s="157"/>
      <c r="I90" s="156">
        <v>2000</v>
      </c>
      <c r="J90" s="157"/>
      <c r="K90" s="156">
        <v>261</v>
      </c>
      <c r="L90" s="157"/>
      <c r="M90" s="60">
        <f t="shared" ref="M90:M91" si="43">K90/I90*100</f>
        <v>13.05</v>
      </c>
    </row>
    <row r="91" spans="1:13" x14ac:dyDescent="0.25">
      <c r="A91" s="10">
        <v>3224</v>
      </c>
      <c r="B91" s="4" t="s">
        <v>88</v>
      </c>
      <c r="C91" s="32"/>
      <c r="D91" s="32"/>
      <c r="E91" s="32"/>
      <c r="F91" s="31"/>
      <c r="G91" s="156">
        <v>3000</v>
      </c>
      <c r="H91" s="157"/>
      <c r="I91" s="156">
        <v>3000</v>
      </c>
      <c r="J91" s="157"/>
      <c r="K91" s="156"/>
      <c r="L91" s="157"/>
      <c r="M91" s="37">
        <f t="shared" si="43"/>
        <v>0</v>
      </c>
    </row>
    <row r="92" spans="1:13" x14ac:dyDescent="0.25">
      <c r="A92" s="11">
        <v>3231</v>
      </c>
      <c r="B92" s="4" t="s">
        <v>61</v>
      </c>
      <c r="C92" s="4"/>
      <c r="D92" s="4"/>
      <c r="E92" s="4"/>
      <c r="F92" s="12"/>
      <c r="G92" s="156">
        <v>2000</v>
      </c>
      <c r="H92" s="157"/>
      <c r="I92" s="156">
        <v>2000</v>
      </c>
      <c r="J92" s="157"/>
      <c r="K92" s="156"/>
      <c r="L92" s="157"/>
      <c r="M92" s="37">
        <f t="shared" si="27"/>
        <v>0</v>
      </c>
    </row>
    <row r="93" spans="1:13" x14ac:dyDescent="0.25">
      <c r="A93" s="11">
        <v>3299</v>
      </c>
      <c r="B93" s="4" t="s">
        <v>68</v>
      </c>
      <c r="C93" s="4"/>
      <c r="D93" s="4"/>
      <c r="E93" s="4"/>
      <c r="F93" s="12"/>
      <c r="G93" s="176">
        <v>1000</v>
      </c>
      <c r="H93" s="177"/>
      <c r="I93" s="176">
        <v>1000</v>
      </c>
      <c r="J93" s="177"/>
      <c r="K93" s="176">
        <f>306.79+1231.46</f>
        <v>1538.25</v>
      </c>
      <c r="L93" s="177"/>
      <c r="M93" s="37">
        <f t="shared" si="27"/>
        <v>153.82499999999999</v>
      </c>
    </row>
    <row r="94" spans="1:13" x14ac:dyDescent="0.25">
      <c r="A94" s="29">
        <v>42</v>
      </c>
      <c r="B94" s="30" t="s">
        <v>74</v>
      </c>
      <c r="C94" s="30"/>
      <c r="D94" s="30"/>
      <c r="E94" s="30"/>
      <c r="F94" s="33"/>
      <c r="G94" s="311">
        <f>SUM(G95:H96)</f>
        <v>12000</v>
      </c>
      <c r="H94" s="312"/>
      <c r="I94" s="311">
        <f>SUM(I95:J96)</f>
        <v>12000</v>
      </c>
      <c r="J94" s="312"/>
      <c r="K94" s="311">
        <f>SUM(K95:L96)</f>
        <v>2268.4699999999998</v>
      </c>
      <c r="L94" s="312"/>
      <c r="M94" s="64">
        <f>K94/I94*100</f>
        <v>18.903916666666664</v>
      </c>
    </row>
    <row r="95" spans="1:13" x14ac:dyDescent="0.25">
      <c r="A95" s="22">
        <v>4221</v>
      </c>
      <c r="B95" s="4" t="s">
        <v>85</v>
      </c>
      <c r="C95" s="4"/>
      <c r="D95" s="4"/>
      <c r="E95" s="4"/>
      <c r="F95" s="12"/>
      <c r="G95" s="299">
        <v>5000</v>
      </c>
      <c r="H95" s="300"/>
      <c r="I95" s="299">
        <v>5000</v>
      </c>
      <c r="J95" s="300"/>
      <c r="K95" s="299">
        <v>2268.4699999999998</v>
      </c>
      <c r="L95" s="300"/>
      <c r="M95" s="37">
        <f t="shared" si="27"/>
        <v>45.369399999999999</v>
      </c>
    </row>
    <row r="96" spans="1:13" s="74" customFormat="1" x14ac:dyDescent="0.25">
      <c r="A96" s="11">
        <v>4227</v>
      </c>
      <c r="B96" s="3" t="s">
        <v>76</v>
      </c>
      <c r="C96" s="4"/>
      <c r="D96" s="4"/>
      <c r="E96" s="4"/>
      <c r="F96" s="12"/>
      <c r="G96" s="176">
        <v>7000</v>
      </c>
      <c r="H96" s="177"/>
      <c r="I96" s="176">
        <v>7000</v>
      </c>
      <c r="J96" s="177"/>
      <c r="K96" s="176"/>
      <c r="L96" s="177"/>
      <c r="M96" s="37">
        <f t="shared" si="27"/>
        <v>0</v>
      </c>
    </row>
    <row r="97" spans="1:13" x14ac:dyDescent="0.25">
      <c r="A97" s="301" t="s">
        <v>125</v>
      </c>
      <c r="B97" s="302"/>
      <c r="C97" s="302"/>
      <c r="D97" s="302"/>
      <c r="E97" s="302"/>
      <c r="F97" s="303"/>
      <c r="G97" s="304">
        <f t="shared" ref="G97" si="44">G99</f>
        <v>0</v>
      </c>
      <c r="H97" s="305"/>
      <c r="I97" s="304">
        <f t="shared" ref="I97" si="45">I99</f>
        <v>730.02</v>
      </c>
      <c r="J97" s="305"/>
      <c r="K97" s="304">
        <f t="shared" ref="K97" si="46">K99</f>
        <v>730.02</v>
      </c>
      <c r="L97" s="305"/>
      <c r="M97" s="325">
        <f t="shared" ref="M97:M98" si="47">K97/I97*100</f>
        <v>100</v>
      </c>
    </row>
    <row r="98" spans="1:13" x14ac:dyDescent="0.25">
      <c r="A98" s="308" t="s">
        <v>126</v>
      </c>
      <c r="B98" s="309"/>
      <c r="C98" s="309"/>
      <c r="D98" s="309"/>
      <c r="E98" s="309"/>
      <c r="F98" s="310"/>
      <c r="G98" s="306"/>
      <c r="H98" s="307"/>
      <c r="I98" s="306"/>
      <c r="J98" s="307"/>
      <c r="K98" s="306"/>
      <c r="L98" s="307"/>
      <c r="M98" s="326" t="e">
        <f t="shared" si="47"/>
        <v>#DIV/0!</v>
      </c>
    </row>
    <row r="99" spans="1:13" x14ac:dyDescent="0.25">
      <c r="A99" s="29">
        <v>32</v>
      </c>
      <c r="B99" s="30" t="s">
        <v>49</v>
      </c>
      <c r="C99" s="30"/>
      <c r="D99" s="30"/>
      <c r="E99" s="30"/>
      <c r="F99" s="33"/>
      <c r="G99" s="311">
        <f t="shared" ref="G99" si="48">G100</f>
        <v>0</v>
      </c>
      <c r="H99" s="312"/>
      <c r="I99" s="311">
        <f t="shared" ref="I99" si="49">I100</f>
        <v>730.02</v>
      </c>
      <c r="J99" s="312"/>
      <c r="K99" s="311">
        <f t="shared" ref="K99" si="50">K100</f>
        <v>730.02</v>
      </c>
      <c r="L99" s="312"/>
      <c r="M99" s="64">
        <f>K99/I99*100</f>
        <v>100</v>
      </c>
    </row>
    <row r="100" spans="1:13" x14ac:dyDescent="0.25">
      <c r="A100" s="22">
        <v>3237</v>
      </c>
      <c r="B100" s="3" t="s">
        <v>127</v>
      </c>
      <c r="C100" s="3"/>
      <c r="D100" s="3"/>
      <c r="E100" s="3"/>
      <c r="F100" s="23"/>
      <c r="G100" s="313"/>
      <c r="H100" s="314"/>
      <c r="I100" s="313">
        <v>730.02</v>
      </c>
      <c r="J100" s="314"/>
      <c r="K100" s="313">
        <v>730.02</v>
      </c>
      <c r="L100" s="314"/>
      <c r="M100" s="60">
        <f>K100/I100*100</f>
        <v>100</v>
      </c>
    </row>
    <row r="101" spans="1:13" x14ac:dyDescent="0.25">
      <c r="A101" s="301" t="s">
        <v>128</v>
      </c>
      <c r="B101" s="302"/>
      <c r="C101" s="302"/>
      <c r="D101" s="302"/>
      <c r="E101" s="302"/>
      <c r="F101" s="303"/>
      <c r="G101" s="304">
        <f t="shared" ref="G101" si="51">G103</f>
        <v>0</v>
      </c>
      <c r="H101" s="305"/>
      <c r="I101" s="304">
        <f t="shared" ref="I101" si="52">I103</f>
        <v>1280</v>
      </c>
      <c r="J101" s="305"/>
      <c r="K101" s="304">
        <f t="shared" ref="K101" si="53">K103</f>
        <v>1280</v>
      </c>
      <c r="L101" s="305"/>
      <c r="M101" s="325">
        <f t="shared" ref="M101:M102" si="54">K101/I101*100</f>
        <v>100</v>
      </c>
    </row>
    <row r="102" spans="1:13" x14ac:dyDescent="0.25">
      <c r="A102" s="308" t="s">
        <v>129</v>
      </c>
      <c r="B102" s="309"/>
      <c r="C102" s="309"/>
      <c r="D102" s="309"/>
      <c r="E102" s="309"/>
      <c r="F102" s="310"/>
      <c r="G102" s="306"/>
      <c r="H102" s="307"/>
      <c r="I102" s="306"/>
      <c r="J102" s="307"/>
      <c r="K102" s="306"/>
      <c r="L102" s="307"/>
      <c r="M102" s="326" t="e">
        <f t="shared" si="54"/>
        <v>#DIV/0!</v>
      </c>
    </row>
    <row r="103" spans="1:13" x14ac:dyDescent="0.25">
      <c r="A103" s="29">
        <v>38</v>
      </c>
      <c r="B103" s="30" t="s">
        <v>122</v>
      </c>
      <c r="C103" s="30"/>
      <c r="D103" s="30"/>
      <c r="E103" s="30"/>
      <c r="F103" s="33"/>
      <c r="G103" s="311">
        <f t="shared" ref="G103" si="55">G104</f>
        <v>0</v>
      </c>
      <c r="H103" s="312"/>
      <c r="I103" s="311">
        <f t="shared" ref="I103" si="56">I104</f>
        <v>1280</v>
      </c>
      <c r="J103" s="312"/>
      <c r="K103" s="311">
        <f t="shared" ref="K103" si="57">K104</f>
        <v>1280</v>
      </c>
      <c r="L103" s="312"/>
      <c r="M103" s="64">
        <f>K103/I103*100</f>
        <v>100</v>
      </c>
    </row>
    <row r="104" spans="1:13" x14ac:dyDescent="0.25">
      <c r="A104" s="22">
        <v>3812</v>
      </c>
      <c r="B104" s="3" t="s">
        <v>156</v>
      </c>
      <c r="C104" s="3"/>
      <c r="D104" s="3"/>
      <c r="E104" s="3"/>
      <c r="F104" s="23"/>
      <c r="G104" s="313"/>
      <c r="H104" s="314"/>
      <c r="I104" s="313">
        <v>1280</v>
      </c>
      <c r="J104" s="314"/>
      <c r="K104" s="313">
        <v>1280</v>
      </c>
      <c r="L104" s="314"/>
      <c r="M104" s="60">
        <f>K104/I104*100</f>
        <v>100</v>
      </c>
    </row>
    <row r="105" spans="1:13" x14ac:dyDescent="0.25">
      <c r="A105" s="337" t="s">
        <v>103</v>
      </c>
      <c r="B105" s="338"/>
      <c r="C105" s="338"/>
      <c r="D105" s="338"/>
      <c r="E105" s="338"/>
      <c r="F105" s="339"/>
      <c r="G105" s="323">
        <f>G106</f>
        <v>0</v>
      </c>
      <c r="H105" s="324"/>
      <c r="I105" s="323">
        <f t="shared" ref="I105" si="58">I106</f>
        <v>29153.91</v>
      </c>
      <c r="J105" s="324"/>
      <c r="K105" s="323">
        <f t="shared" ref="K105" si="59">K106</f>
        <v>26759.710000000003</v>
      </c>
      <c r="L105" s="324"/>
      <c r="M105" s="41">
        <f t="shared" ref="M105" si="60">K105/I105*100</f>
        <v>91.787722470159238</v>
      </c>
    </row>
    <row r="106" spans="1:13" x14ac:dyDescent="0.25">
      <c r="A106" s="340" t="s">
        <v>104</v>
      </c>
      <c r="B106" s="341"/>
      <c r="C106" s="341"/>
      <c r="D106" s="341"/>
      <c r="E106" s="341"/>
      <c r="F106" s="342"/>
      <c r="G106" s="355">
        <f>G109+G117</f>
        <v>0</v>
      </c>
      <c r="H106" s="356"/>
      <c r="I106" s="355">
        <f>I109+I117</f>
        <v>29153.91</v>
      </c>
      <c r="J106" s="356"/>
      <c r="K106" s="355">
        <f>K109+K117</f>
        <v>26759.710000000003</v>
      </c>
      <c r="L106" s="356"/>
      <c r="M106" s="326">
        <f>K106/I106*100</f>
        <v>91.787722470159238</v>
      </c>
    </row>
    <row r="107" spans="1:13" x14ac:dyDescent="0.25">
      <c r="A107" s="343" t="s">
        <v>183</v>
      </c>
      <c r="B107" s="344"/>
      <c r="C107" s="344"/>
      <c r="D107" s="344"/>
      <c r="E107" s="344"/>
      <c r="F107" s="345"/>
      <c r="G107" s="355"/>
      <c r="H107" s="356"/>
      <c r="I107" s="355"/>
      <c r="J107" s="356"/>
      <c r="K107" s="355"/>
      <c r="L107" s="356"/>
      <c r="M107" s="326"/>
    </row>
    <row r="108" spans="1:13" x14ac:dyDescent="0.25">
      <c r="A108" s="334" t="s">
        <v>184</v>
      </c>
      <c r="B108" s="335"/>
      <c r="C108" s="335"/>
      <c r="D108" s="335"/>
      <c r="E108" s="335"/>
      <c r="F108" s="336"/>
      <c r="G108" s="355"/>
      <c r="H108" s="356"/>
      <c r="I108" s="355"/>
      <c r="J108" s="356"/>
      <c r="K108" s="355"/>
      <c r="L108" s="356"/>
      <c r="M108" s="326"/>
    </row>
    <row r="109" spans="1:13" x14ac:dyDescent="0.25">
      <c r="A109" s="29">
        <v>31</v>
      </c>
      <c r="B109" s="30" t="s">
        <v>43</v>
      </c>
      <c r="C109" s="30"/>
      <c r="D109" s="30"/>
      <c r="E109" s="30"/>
      <c r="F109" s="33"/>
      <c r="G109" s="311">
        <f>SUM(G110:H116)</f>
        <v>0</v>
      </c>
      <c r="H109" s="312"/>
      <c r="I109" s="311">
        <f>SUM(I110:J116)</f>
        <v>27936.57</v>
      </c>
      <c r="J109" s="312"/>
      <c r="K109" s="311">
        <f>SUM(K110:L116)</f>
        <v>25542.370000000003</v>
      </c>
      <c r="L109" s="312"/>
      <c r="M109" s="76">
        <f t="shared" ref="M109:M118" si="61">K109/I109*100</f>
        <v>91.429871312047268</v>
      </c>
    </row>
    <row r="110" spans="1:13" ht="15" customHeight="1" x14ac:dyDescent="0.25">
      <c r="A110" s="10">
        <v>3111</v>
      </c>
      <c r="B110" s="32" t="s">
        <v>45</v>
      </c>
      <c r="C110" s="32"/>
      <c r="D110" s="32"/>
      <c r="E110" s="32"/>
      <c r="F110" s="31" t="s">
        <v>121</v>
      </c>
      <c r="G110" s="156"/>
      <c r="H110" s="157"/>
      <c r="I110" s="156">
        <v>5214</v>
      </c>
      <c r="J110" s="157"/>
      <c r="K110" s="156">
        <v>5214</v>
      </c>
      <c r="L110" s="157"/>
      <c r="M110" s="37">
        <f t="shared" si="61"/>
        <v>100</v>
      </c>
    </row>
    <row r="111" spans="1:13" x14ac:dyDescent="0.25">
      <c r="A111" s="10">
        <v>3111</v>
      </c>
      <c r="B111" s="32" t="s">
        <v>45</v>
      </c>
      <c r="C111" s="32"/>
      <c r="D111" s="32"/>
      <c r="E111" s="32"/>
      <c r="F111" s="31" t="s">
        <v>120</v>
      </c>
      <c r="G111" s="156"/>
      <c r="H111" s="157"/>
      <c r="I111" s="156">
        <v>3685.5</v>
      </c>
      <c r="J111" s="157"/>
      <c r="K111" s="156">
        <v>3685.5</v>
      </c>
      <c r="L111" s="157"/>
      <c r="M111" s="37">
        <f t="shared" si="61"/>
        <v>100</v>
      </c>
    </row>
    <row r="112" spans="1:13" s="74" customFormat="1" x14ac:dyDescent="0.25">
      <c r="A112" s="11">
        <v>3111</v>
      </c>
      <c r="B112" s="4" t="s">
        <v>45</v>
      </c>
      <c r="C112" s="4"/>
      <c r="D112" s="4"/>
      <c r="E112" s="4"/>
      <c r="F112" s="12" t="s">
        <v>162</v>
      </c>
      <c r="G112" s="156"/>
      <c r="H112" s="157"/>
      <c r="I112" s="156">
        <v>13702.7</v>
      </c>
      <c r="J112" s="157"/>
      <c r="K112" s="156">
        <v>11308.5</v>
      </c>
      <c r="L112" s="157"/>
      <c r="M112" s="37">
        <f t="shared" si="61"/>
        <v>82.527531070518947</v>
      </c>
    </row>
    <row r="113" spans="1:13" x14ac:dyDescent="0.25">
      <c r="A113" s="11">
        <v>3121</v>
      </c>
      <c r="B113" s="4" t="s">
        <v>46</v>
      </c>
      <c r="C113" s="4"/>
      <c r="D113" s="4"/>
      <c r="E113" s="4"/>
      <c r="F113" s="12" t="s">
        <v>121</v>
      </c>
      <c r="G113" s="176"/>
      <c r="H113" s="177"/>
      <c r="I113" s="176">
        <v>2000</v>
      </c>
      <c r="J113" s="177"/>
      <c r="K113" s="176">
        <v>2000</v>
      </c>
      <c r="L113" s="177"/>
      <c r="M113" s="37">
        <f t="shared" si="61"/>
        <v>100</v>
      </c>
    </row>
    <row r="114" spans="1:13" x14ac:dyDescent="0.25">
      <c r="A114" s="11">
        <v>3132</v>
      </c>
      <c r="B114" s="4" t="s">
        <v>47</v>
      </c>
      <c r="C114" s="4"/>
      <c r="D114" s="4"/>
      <c r="E114" s="4"/>
      <c r="F114" s="12" t="s">
        <v>121</v>
      </c>
      <c r="G114" s="176"/>
      <c r="H114" s="177"/>
      <c r="I114" s="176">
        <v>860.33</v>
      </c>
      <c r="J114" s="177"/>
      <c r="K114" s="176">
        <v>860.33</v>
      </c>
      <c r="L114" s="177"/>
      <c r="M114" s="37">
        <f t="shared" si="61"/>
        <v>100</v>
      </c>
    </row>
    <row r="115" spans="1:13" x14ac:dyDescent="0.25">
      <c r="A115" s="11">
        <v>3132</v>
      </c>
      <c r="B115" s="4" t="s">
        <v>47</v>
      </c>
      <c r="C115" s="4"/>
      <c r="D115" s="4"/>
      <c r="E115" s="4"/>
      <c r="F115" s="12" t="s">
        <v>120</v>
      </c>
      <c r="G115" s="176"/>
      <c r="H115" s="177"/>
      <c r="I115" s="176">
        <v>608.12</v>
      </c>
      <c r="J115" s="177"/>
      <c r="K115" s="176">
        <v>608.12</v>
      </c>
      <c r="L115" s="177"/>
      <c r="M115" s="37">
        <f t="shared" si="61"/>
        <v>100</v>
      </c>
    </row>
    <row r="116" spans="1:13" s="74" customFormat="1" x14ac:dyDescent="0.25">
      <c r="A116" s="11">
        <v>3132</v>
      </c>
      <c r="B116" s="4" t="s">
        <v>47</v>
      </c>
      <c r="C116" s="4"/>
      <c r="D116" s="4"/>
      <c r="E116" s="4"/>
      <c r="F116" s="12" t="s">
        <v>162</v>
      </c>
      <c r="G116" s="176"/>
      <c r="H116" s="177"/>
      <c r="I116" s="176">
        <v>1865.92</v>
      </c>
      <c r="J116" s="177"/>
      <c r="K116" s="176">
        <v>1865.92</v>
      </c>
      <c r="L116" s="177"/>
      <c r="M116" s="37">
        <f t="shared" si="61"/>
        <v>100</v>
      </c>
    </row>
    <row r="117" spans="1:13" x14ac:dyDescent="0.25">
      <c r="A117" s="29">
        <v>32</v>
      </c>
      <c r="B117" s="30" t="s">
        <v>49</v>
      </c>
      <c r="C117" s="30"/>
      <c r="D117" s="30"/>
      <c r="E117" s="30"/>
      <c r="F117" s="33"/>
      <c r="G117" s="311">
        <f t="shared" ref="G117" si="62">G118</f>
        <v>0</v>
      </c>
      <c r="H117" s="312"/>
      <c r="I117" s="311">
        <f t="shared" ref="I117" si="63">I118</f>
        <v>1217.3399999999999</v>
      </c>
      <c r="J117" s="312"/>
      <c r="K117" s="311">
        <f t="shared" ref="K117" si="64">K118</f>
        <v>1217.3399999999999</v>
      </c>
      <c r="L117" s="312"/>
      <c r="M117" s="64">
        <f t="shared" si="61"/>
        <v>100</v>
      </c>
    </row>
    <row r="118" spans="1:13" ht="15.75" thickBot="1" x14ac:dyDescent="0.3">
      <c r="A118" s="27">
        <v>3212</v>
      </c>
      <c r="B118" s="34" t="s">
        <v>105</v>
      </c>
      <c r="C118" s="28"/>
      <c r="D118" s="28"/>
      <c r="E118" s="28"/>
      <c r="F118" s="45" t="s">
        <v>121</v>
      </c>
      <c r="G118" s="278"/>
      <c r="H118" s="279"/>
      <c r="I118" s="278">
        <v>1217.3399999999999</v>
      </c>
      <c r="J118" s="279"/>
      <c r="K118" s="278">
        <v>1217.3399999999999</v>
      </c>
      <c r="L118" s="279"/>
      <c r="M118" s="38">
        <f t="shared" si="61"/>
        <v>100</v>
      </c>
    </row>
    <row r="119" spans="1:13" x14ac:dyDescent="0.25">
      <c r="F119" s="143"/>
    </row>
  </sheetData>
  <customSheetViews>
    <customSheetView guid="{005C429F-8448-44DF-83AD-8A930973E873}" topLeftCell="A22">
      <selection activeCell="G131" sqref="G131:H131"/>
      <rowBreaks count="1" manualBreakCount="1">
        <brk id="54" max="16383" man="1"/>
      </rowBreaks>
      <pageMargins left="0.7" right="0.7" top="0.75" bottom="0.75" header="0.3" footer="0.3"/>
      <pageSetup paperSize="9" scale="63" orientation="portrait" r:id="rId1"/>
    </customSheetView>
  </customSheetViews>
  <mergeCells count="332">
    <mergeCell ref="K29:L29"/>
    <mergeCell ref="K30:L30"/>
    <mergeCell ref="G106:H108"/>
    <mergeCell ref="I106:J108"/>
    <mergeCell ref="K106:L108"/>
    <mergeCell ref="M106:M108"/>
    <mergeCell ref="G18:H18"/>
    <mergeCell ref="I18:J18"/>
    <mergeCell ref="K18:L18"/>
    <mergeCell ref="G85:H85"/>
    <mergeCell ref="I85:J85"/>
    <mergeCell ref="K85:L85"/>
    <mergeCell ref="G86:H86"/>
    <mergeCell ref="I86:J86"/>
    <mergeCell ref="K86:L86"/>
    <mergeCell ref="G47:H48"/>
    <mergeCell ref="I47:J48"/>
    <mergeCell ref="K47:L48"/>
    <mergeCell ref="M47:M48"/>
    <mergeCell ref="G49:H49"/>
    <mergeCell ref="I49:J49"/>
    <mergeCell ref="K49:L49"/>
    <mergeCell ref="G50:H50"/>
    <mergeCell ref="I50:J50"/>
    <mergeCell ref="G23:H23"/>
    <mergeCell ref="G24:H24"/>
    <mergeCell ref="G25:H25"/>
    <mergeCell ref="G40:H40"/>
    <mergeCell ref="G41:H41"/>
    <mergeCell ref="G34:H34"/>
    <mergeCell ref="G35:H35"/>
    <mergeCell ref="G36:H36"/>
    <mergeCell ref="G37:H37"/>
    <mergeCell ref="G38:H38"/>
    <mergeCell ref="G39:H39"/>
    <mergeCell ref="G26:H26"/>
    <mergeCell ref="G27:H27"/>
    <mergeCell ref="G28:H28"/>
    <mergeCell ref="G29:H29"/>
    <mergeCell ref="G30:H30"/>
    <mergeCell ref="G31:H31"/>
    <mergeCell ref="G32:H32"/>
    <mergeCell ref="G33:H33"/>
    <mergeCell ref="A7:M7"/>
    <mergeCell ref="A20:F20"/>
    <mergeCell ref="A19:F19"/>
    <mergeCell ref="A21:F21"/>
    <mergeCell ref="A22:F22"/>
    <mergeCell ref="K9:L10"/>
    <mergeCell ref="K11:L11"/>
    <mergeCell ref="A9:F10"/>
    <mergeCell ref="A11:F11"/>
    <mergeCell ref="I9:J10"/>
    <mergeCell ref="I11:J11"/>
    <mergeCell ref="I19:J19"/>
    <mergeCell ref="I20:J20"/>
    <mergeCell ref="I21:J22"/>
    <mergeCell ref="G9:H10"/>
    <mergeCell ref="G11:H11"/>
    <mergeCell ref="G19:H19"/>
    <mergeCell ref="G20:H20"/>
    <mergeCell ref="G21:H22"/>
    <mergeCell ref="G13:H13"/>
    <mergeCell ref="I13:J13"/>
    <mergeCell ref="K13:L13"/>
    <mergeCell ref="G14:H14"/>
    <mergeCell ref="I14:J14"/>
    <mergeCell ref="I62:J62"/>
    <mergeCell ref="G65:H65"/>
    <mergeCell ref="A107:F107"/>
    <mergeCell ref="A82:F82"/>
    <mergeCell ref="A101:F101"/>
    <mergeCell ref="A102:F102"/>
    <mergeCell ref="A62:F62"/>
    <mergeCell ref="A70:F70"/>
    <mergeCell ref="A59:F59"/>
    <mergeCell ref="A85:F85"/>
    <mergeCell ref="K63:L63"/>
    <mergeCell ref="K80:L80"/>
    <mergeCell ref="K84:L84"/>
    <mergeCell ref="K88:L88"/>
    <mergeCell ref="K92:L92"/>
    <mergeCell ref="A108:F108"/>
    <mergeCell ref="I100:J100"/>
    <mergeCell ref="I82:J82"/>
    <mergeCell ref="I84:J84"/>
    <mergeCell ref="I104:J104"/>
    <mergeCell ref="G105:H105"/>
    <mergeCell ref="A105:F105"/>
    <mergeCell ref="A106:F106"/>
    <mergeCell ref="I91:J91"/>
    <mergeCell ref="I88:J88"/>
    <mergeCell ref="K105:L105"/>
    <mergeCell ref="I116:J116"/>
    <mergeCell ref="K116:L116"/>
    <mergeCell ref="K110:L110"/>
    <mergeCell ref="I112:J112"/>
    <mergeCell ref="K112:L112"/>
    <mergeCell ref="K118:L118"/>
    <mergeCell ref="I118:J118"/>
    <mergeCell ref="I105:J105"/>
    <mergeCell ref="A75:F75"/>
    <mergeCell ref="A60:F61"/>
    <mergeCell ref="A88:F88"/>
    <mergeCell ref="I23:J23"/>
    <mergeCell ref="I24:J24"/>
    <mergeCell ref="I25:J25"/>
    <mergeCell ref="I26:J26"/>
    <mergeCell ref="I27:J27"/>
    <mergeCell ref="I38:J38"/>
    <mergeCell ref="I34:J34"/>
    <mergeCell ref="I35:J35"/>
    <mergeCell ref="I28:J28"/>
    <mergeCell ref="I29:J29"/>
    <mergeCell ref="I36:J36"/>
    <mergeCell ref="I37:J37"/>
    <mergeCell ref="I30:J30"/>
    <mergeCell ref="I31:J31"/>
    <mergeCell ref="I32:J32"/>
    <mergeCell ref="I33:J33"/>
    <mergeCell ref="I39:J39"/>
    <mergeCell ref="I40:J40"/>
    <mergeCell ref="I41:J41"/>
    <mergeCell ref="I55:J55"/>
    <mergeCell ref="I56:J56"/>
    <mergeCell ref="K19:L19"/>
    <mergeCell ref="K20:L20"/>
    <mergeCell ref="K21:L22"/>
    <mergeCell ref="K23:L23"/>
    <mergeCell ref="K24:L24"/>
    <mergeCell ref="K25:L25"/>
    <mergeCell ref="K26:L26"/>
    <mergeCell ref="K27:L27"/>
    <mergeCell ref="K28:L28"/>
    <mergeCell ref="K57:L57"/>
    <mergeCell ref="K42:L42"/>
    <mergeCell ref="K43:L43"/>
    <mergeCell ref="K44:L44"/>
    <mergeCell ref="K46:L46"/>
    <mergeCell ref="K36:L36"/>
    <mergeCell ref="K37:L37"/>
    <mergeCell ref="K38:L38"/>
    <mergeCell ref="K40:L40"/>
    <mergeCell ref="K41:L41"/>
    <mergeCell ref="K53:L53"/>
    <mergeCell ref="K45:L45"/>
    <mergeCell ref="K50:L50"/>
    <mergeCell ref="K82:L82"/>
    <mergeCell ref="K62:L62"/>
    <mergeCell ref="K87:L87"/>
    <mergeCell ref="M21:M22"/>
    <mergeCell ref="M51:M52"/>
    <mergeCell ref="M60:M61"/>
    <mergeCell ref="M97:M98"/>
    <mergeCell ref="K64:L64"/>
    <mergeCell ref="K71:L71"/>
    <mergeCell ref="K91:L91"/>
    <mergeCell ref="K70:L70"/>
    <mergeCell ref="K72:L72"/>
    <mergeCell ref="K75:L75"/>
    <mergeCell ref="K31:L31"/>
    <mergeCell ref="K32:L32"/>
    <mergeCell ref="K33:L33"/>
    <mergeCell ref="K34:L34"/>
    <mergeCell ref="K35:L35"/>
    <mergeCell ref="K56:L56"/>
    <mergeCell ref="K58:L58"/>
    <mergeCell ref="K59:L59"/>
    <mergeCell ref="K51:L52"/>
    <mergeCell ref="K54:L54"/>
    <mergeCell ref="K55:L55"/>
    <mergeCell ref="K113:L113"/>
    <mergeCell ref="K60:L61"/>
    <mergeCell ref="K68:L68"/>
    <mergeCell ref="K97:L98"/>
    <mergeCell ref="K39:L39"/>
    <mergeCell ref="I114:J114"/>
    <mergeCell ref="K114:L114"/>
    <mergeCell ref="M101:M102"/>
    <mergeCell ref="I103:J103"/>
    <mergeCell ref="K103:L103"/>
    <mergeCell ref="K104:L104"/>
    <mergeCell ref="I113:J113"/>
    <mergeCell ref="I111:J111"/>
    <mergeCell ref="K111:L111"/>
    <mergeCell ref="I60:J61"/>
    <mergeCell ref="I64:J64"/>
    <mergeCell ref="I42:J42"/>
    <mergeCell ref="I43:J43"/>
    <mergeCell ref="I44:J44"/>
    <mergeCell ref="I92:J92"/>
    <mergeCell ref="K99:L99"/>
    <mergeCell ref="K100:L100"/>
    <mergeCell ref="K69:L69"/>
    <mergeCell ref="K83:L83"/>
    <mergeCell ref="G60:H61"/>
    <mergeCell ref="G54:H54"/>
    <mergeCell ref="G42:H42"/>
    <mergeCell ref="G43:H43"/>
    <mergeCell ref="G44:H44"/>
    <mergeCell ref="G46:H46"/>
    <mergeCell ref="I46:J46"/>
    <mergeCell ref="G55:H55"/>
    <mergeCell ref="G56:H56"/>
    <mergeCell ref="G58:H58"/>
    <mergeCell ref="G59:H59"/>
    <mergeCell ref="G51:H52"/>
    <mergeCell ref="I58:J58"/>
    <mergeCell ref="I59:J59"/>
    <mergeCell ref="I51:J52"/>
    <mergeCell ref="I54:J54"/>
    <mergeCell ref="G53:H53"/>
    <mergeCell ref="I53:J53"/>
    <mergeCell ref="G57:H57"/>
    <mergeCell ref="I57:J57"/>
    <mergeCell ref="G45:H45"/>
    <mergeCell ref="I45:J45"/>
    <mergeCell ref="G62:H62"/>
    <mergeCell ref="G63:H63"/>
    <mergeCell ref="I63:J63"/>
    <mergeCell ref="G81:H81"/>
    <mergeCell ref="G73:H73"/>
    <mergeCell ref="I73:J73"/>
    <mergeCell ref="K73:L73"/>
    <mergeCell ref="G71:H71"/>
    <mergeCell ref="I71:J71"/>
    <mergeCell ref="G74:H74"/>
    <mergeCell ref="I74:J74"/>
    <mergeCell ref="K74:L74"/>
    <mergeCell ref="G68:H68"/>
    <mergeCell ref="I68:J68"/>
    <mergeCell ref="G76:H76"/>
    <mergeCell ref="I76:J76"/>
    <mergeCell ref="G80:H80"/>
    <mergeCell ref="K81:L81"/>
    <mergeCell ref="K67:L67"/>
    <mergeCell ref="K79:L79"/>
    <mergeCell ref="K76:L76"/>
    <mergeCell ref="K77:L77"/>
    <mergeCell ref="K78:L78"/>
    <mergeCell ref="K65:L65"/>
    <mergeCell ref="G84:H84"/>
    <mergeCell ref="G64:H64"/>
    <mergeCell ref="I80:J80"/>
    <mergeCell ref="G70:H70"/>
    <mergeCell ref="G72:H72"/>
    <mergeCell ref="G75:H75"/>
    <mergeCell ref="I77:J77"/>
    <mergeCell ref="I78:J78"/>
    <mergeCell ref="G78:H78"/>
    <mergeCell ref="I70:J70"/>
    <mergeCell ref="I72:J72"/>
    <mergeCell ref="I75:J75"/>
    <mergeCell ref="I65:J65"/>
    <mergeCell ref="G67:H67"/>
    <mergeCell ref="I67:J67"/>
    <mergeCell ref="G69:H69"/>
    <mergeCell ref="I69:J69"/>
    <mergeCell ref="G79:H79"/>
    <mergeCell ref="I79:J79"/>
    <mergeCell ref="G83:H83"/>
    <mergeCell ref="I83:J83"/>
    <mergeCell ref="I81:J81"/>
    <mergeCell ref="G77:H77"/>
    <mergeCell ref="G87:H87"/>
    <mergeCell ref="I87:J87"/>
    <mergeCell ref="A5:M5"/>
    <mergeCell ref="G110:H110"/>
    <mergeCell ref="I110:J110"/>
    <mergeCell ref="B13:F13"/>
    <mergeCell ref="K14:L14"/>
    <mergeCell ref="G15:H15"/>
    <mergeCell ref="I15:J15"/>
    <mergeCell ref="K15:L15"/>
    <mergeCell ref="G16:H16"/>
    <mergeCell ref="I16:J16"/>
    <mergeCell ref="K16:L16"/>
    <mergeCell ref="G17:H17"/>
    <mergeCell ref="I17:J17"/>
    <mergeCell ref="K17:L17"/>
    <mergeCell ref="G66:H66"/>
    <mergeCell ref="I66:J66"/>
    <mergeCell ref="K66:L66"/>
    <mergeCell ref="G82:H82"/>
    <mergeCell ref="G104:H104"/>
    <mergeCell ref="G100:H100"/>
    <mergeCell ref="G101:H102"/>
    <mergeCell ref="G96:H96"/>
    <mergeCell ref="I96:J96"/>
    <mergeCell ref="K96:L96"/>
    <mergeCell ref="G99:H99"/>
    <mergeCell ref="I99:J99"/>
    <mergeCell ref="G88:H88"/>
    <mergeCell ref="K101:L102"/>
    <mergeCell ref="G92:H92"/>
    <mergeCell ref="G90:H90"/>
    <mergeCell ref="I90:J90"/>
    <mergeCell ref="K90:L90"/>
    <mergeCell ref="G103:H103"/>
    <mergeCell ref="G97:H98"/>
    <mergeCell ref="G93:H93"/>
    <mergeCell ref="G95:H95"/>
    <mergeCell ref="G94:H94"/>
    <mergeCell ref="I94:J94"/>
    <mergeCell ref="K93:L93"/>
    <mergeCell ref="K94:L94"/>
    <mergeCell ref="I93:J93"/>
    <mergeCell ref="K95:L95"/>
    <mergeCell ref="G91:H91"/>
    <mergeCell ref="I95:J95"/>
    <mergeCell ref="A97:F97"/>
    <mergeCell ref="I97:J98"/>
    <mergeCell ref="G89:H89"/>
    <mergeCell ref="I89:J89"/>
    <mergeCell ref="K89:L89"/>
    <mergeCell ref="G116:H116"/>
    <mergeCell ref="G118:H118"/>
    <mergeCell ref="G114:H114"/>
    <mergeCell ref="A98:F98"/>
    <mergeCell ref="G115:H115"/>
    <mergeCell ref="I115:J115"/>
    <mergeCell ref="K115:L115"/>
    <mergeCell ref="G117:H117"/>
    <mergeCell ref="I117:J117"/>
    <mergeCell ref="K117:L117"/>
    <mergeCell ref="G109:H109"/>
    <mergeCell ref="I109:J109"/>
    <mergeCell ref="K109:L109"/>
    <mergeCell ref="G112:H112"/>
    <mergeCell ref="G111:H111"/>
    <mergeCell ref="G113:H113"/>
    <mergeCell ref="I101:J102"/>
  </mergeCells>
  <pageMargins left="0.7" right="0.7" top="0.75" bottom="0.75" header="0.3" footer="0.3"/>
  <pageSetup paperSize="9" scale="72" fitToHeight="0" orientation="portrait" r:id="rId2"/>
  <rowBreaks count="1" manualBreakCount="1">
    <brk id="58" max="12" man="1"/>
  </rowBreaks>
  <ignoredErrors>
    <ignoredError sqref="M58:M59 M100 M104 M118 M95 M54 M64 M70 M75 M81:M82 M97:M98 M101:M102 M116 M105:M106 M13 M15:M17 M72 M77 M88 M90:M93 M110 M112:M113 M84 M114 I1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2</vt:i4>
      </vt:variant>
    </vt:vector>
  </HeadingPairs>
  <TitlesOfParts>
    <vt:vector size="7" baseType="lpstr">
      <vt:lpstr>SAŽETAK</vt:lpstr>
      <vt:lpstr>Račun prihoda i rashoda</vt:lpstr>
      <vt:lpstr>Rashodi i prihodi prema izvoru</vt:lpstr>
      <vt:lpstr>Rashodi prema funkcijskoj k </vt:lpstr>
      <vt:lpstr>Programska klasifikacija</vt:lpstr>
      <vt:lpstr>'Programska klasifikacija'!Podrucje_ispisa</vt:lpstr>
      <vt:lpstr>'Račun prihoda i rashoda'!Podrucje_ispisa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Racunovodja</dc:creator>
  <cp:lastModifiedBy>Racunovodja</cp:lastModifiedBy>
  <cp:lastPrinted>2025-07-17T08:41:28Z</cp:lastPrinted>
  <dcterms:created xsi:type="dcterms:W3CDTF">2023-02-09T09:40:18Z</dcterms:created>
  <dcterms:modified xsi:type="dcterms:W3CDTF">2025-07-17T09:33:53Z</dcterms:modified>
</cp:coreProperties>
</file>